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3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3\"/>
    </mc:Choice>
  </mc:AlternateContent>
  <workbookProtection lockStructure="1"/>
  <bookViews>
    <workbookView xWindow="-120" yWindow="-120" windowWidth="29040" windowHeight="15720"/>
  </bookViews>
  <sheets>
    <sheet name="Schweiz" sheetId="1" r:id="rId1"/>
    <sheet name="Graubünden" sheetId="3" r:id="rId2"/>
    <sheet name="Uebersetzungen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3" l="1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D14" i="1"/>
  <c r="C14" i="1"/>
  <c r="C13" i="3"/>
  <c r="B16" i="3"/>
  <c r="A15" i="3"/>
  <c r="A10" i="3"/>
  <c r="A9" i="3"/>
  <c r="A49" i="1"/>
  <c r="A43" i="1"/>
  <c r="B16" i="1"/>
  <c r="A16" i="1"/>
  <c r="A15" i="1"/>
  <c r="C13" i="1"/>
  <c r="A10" i="1"/>
  <c r="A7" i="1"/>
  <c r="A9" i="1"/>
  <c r="A16" i="3" l="1"/>
  <c r="B45" i="3" l="1"/>
  <c r="B44" i="3"/>
  <c r="B43" i="3"/>
  <c r="B41" i="3"/>
  <c r="B42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A43" i="3"/>
  <c r="A32" i="3"/>
  <c r="A27" i="3"/>
  <c r="A22" i="3"/>
  <c r="A18" i="3"/>
  <c r="A53" i="3" l="1"/>
  <c r="A52" i="3"/>
  <c r="A50" i="3"/>
  <c r="A49" i="3"/>
  <c r="A48" i="3"/>
  <c r="A47" i="3"/>
  <c r="A7" i="3" l="1"/>
  <c r="U13" i="3"/>
  <c r="S13" i="3"/>
  <c r="Q13" i="3"/>
  <c r="O13" i="3"/>
  <c r="M13" i="3"/>
  <c r="K13" i="3"/>
  <c r="I13" i="3"/>
  <c r="G13" i="3"/>
  <c r="E13" i="3"/>
  <c r="U13" i="1" l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I14" i="1"/>
  <c r="E14" i="1"/>
  <c r="B17" i="1" l="1"/>
  <c r="A48" i="1"/>
  <c r="A44" i="1"/>
  <c r="S13" i="1"/>
  <c r="Q13" i="1"/>
  <c r="O13" i="1"/>
  <c r="M13" i="1"/>
  <c r="K13" i="1"/>
  <c r="I13" i="1"/>
  <c r="G13" i="1"/>
  <c r="E13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F14" i="1"/>
  <c r="A45" i="1" l="1"/>
  <c r="A46" i="1"/>
</calcChain>
</file>

<file path=xl/sharedStrings.xml><?xml version="1.0" encoding="utf-8"?>
<sst xmlns="http://schemas.openxmlformats.org/spreadsheetml/2006/main" count="553" uniqueCount="334">
  <si>
    <t>Anzahl Personen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</si>
  <si>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</si>
  <si>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</si>
  <si>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</si>
  <si>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</si>
  <si>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</si>
  <si>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</si>
  <si>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</si>
  <si>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</si>
  <si>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</si>
  <si>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</si>
  <si>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T1-2</t>
  </si>
  <si>
    <t>&lt;Titel&gt;</t>
  </si>
  <si>
    <t>&lt;UTitel&gt;</t>
  </si>
  <si>
    <t>Ständige schweizerische Wohnbevölkerung ab 15 Jahren</t>
  </si>
  <si>
    <t>Populaziun residenta permanenta da la Svizra a partir da 15 onns</t>
  </si>
  <si>
    <t>Popolazione residente permanente svizzera di 15 anni e più</t>
  </si>
  <si>
    <t>&lt;SpaltenTitel_1&gt;</t>
  </si>
  <si>
    <t>Total</t>
  </si>
  <si>
    <t>Totale</t>
  </si>
  <si>
    <t>&lt;SpaltenTitel_2&gt;</t>
  </si>
  <si>
    <t>Erwerbspersonen</t>
  </si>
  <si>
    <t>&lt;SpaltenTitel_3&gt;</t>
  </si>
  <si>
    <t>Erwerbstätige</t>
  </si>
  <si>
    <t>&lt;SpaltenTitel_4&gt;</t>
  </si>
  <si>
    <t>Selbständige</t>
  </si>
  <si>
    <t>&lt;SpaltenTitel_5&gt;</t>
  </si>
  <si>
    <t>Mitarbeitende Familienmitglieder</t>
  </si>
  <si>
    <t>Collavuratur(a)s Commembranza(a)s</t>
  </si>
  <si>
    <t>&lt;SpaltenTitel_6&gt;</t>
  </si>
  <si>
    <t>Firmeneigentümer/-innen (AG oder GmbH)</t>
  </si>
  <si>
    <t>Proprietaris da firmas (SA u ScRL)</t>
  </si>
  <si>
    <t>&lt;SpaltenTitel_7&gt;</t>
  </si>
  <si>
    <t>Angestellte</t>
  </si>
  <si>
    <t>&lt;SpaltenTitel_8&gt;</t>
  </si>
  <si>
    <t>Lernende in der dualen beruflichen Grundbildung</t>
  </si>
  <si>
    <t>Emprendistas ed emprendists en la furmaziun fundamentala professiunala duala</t>
  </si>
  <si>
    <t>&lt;SpaltenTitel_9&gt;</t>
  </si>
  <si>
    <t>Erwerbslose</t>
  </si>
  <si>
    <t>&lt;SpaltenTitel_10&gt;</t>
  </si>
  <si>
    <t>Nichterwerbspersonen</t>
  </si>
  <si>
    <t>&lt;SpaltenTitel_1.1&gt;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</si>
  <si>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</si>
  <si>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</si>
  <si>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</si>
  <si>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</si>
  <si>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</si>
  <si>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</si>
  <si>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T1</t>
  </si>
  <si>
    <t>&lt;Zeilentitel_1&gt;</t>
  </si>
  <si>
    <t>&lt;Zeilentitel_2&gt;</t>
  </si>
  <si>
    <t>Kanton</t>
  </si>
  <si>
    <t>Chantun</t>
  </si>
  <si>
    <t>Cantone</t>
  </si>
  <si>
    <t>&lt;Zeilentitel_2.1&gt;</t>
  </si>
  <si>
    <t>Zürich</t>
  </si>
  <si>
    <t>Turitg</t>
  </si>
  <si>
    <t>Zurigo</t>
  </si>
  <si>
    <t>&lt;Zeilentitel_2.2&gt;</t>
  </si>
  <si>
    <t>Bern</t>
  </si>
  <si>
    <t>Berna</t>
  </si>
  <si>
    <t>&lt;Zeilentitel_2.3&gt;</t>
  </si>
  <si>
    <t>Luzern</t>
  </si>
  <si>
    <t>Lucerna</t>
  </si>
  <si>
    <t>&lt;Zeilentitel_2.4&gt;</t>
  </si>
  <si>
    <t>Uri</t>
  </si>
  <si>
    <t>&lt;Zeilentitel_2.5&gt;</t>
  </si>
  <si>
    <t>Schwyz</t>
  </si>
  <si>
    <t>Sviz</t>
  </si>
  <si>
    <t>Svitto</t>
  </si>
  <si>
    <t>&lt;Zeilentitel_2.6&gt;</t>
  </si>
  <si>
    <t>Obwalden</t>
  </si>
  <si>
    <t>Sursilvania</t>
  </si>
  <si>
    <t>Obvaldo</t>
  </si>
  <si>
    <t>&lt;Zeilentitel_2.7&gt;</t>
  </si>
  <si>
    <t>Nidwalden</t>
  </si>
  <si>
    <t>Sutsilvania</t>
  </si>
  <si>
    <t>Nidvaldo</t>
  </si>
  <si>
    <t>&lt;Zeilentitel_2.8&gt;</t>
  </si>
  <si>
    <t>Glarus</t>
  </si>
  <si>
    <t>Glaruna</t>
  </si>
  <si>
    <t>Glarona</t>
  </si>
  <si>
    <t>&lt;Zeilentitel_2.9&gt;</t>
  </si>
  <si>
    <t>Zug</t>
  </si>
  <si>
    <t>Zugo</t>
  </si>
  <si>
    <t>&lt;Zeilentitel_2.10&gt;</t>
  </si>
  <si>
    <t>Freiburg</t>
  </si>
  <si>
    <t>Friburg</t>
  </si>
  <si>
    <t>Friborgo</t>
  </si>
  <si>
    <t>&lt;Zeilentitel_2.11&gt;</t>
  </si>
  <si>
    <t>Solothurn</t>
  </si>
  <si>
    <t>Soloturn</t>
  </si>
  <si>
    <t>Soletta</t>
  </si>
  <si>
    <t>&lt;Zeilentitel_2.12&gt;</t>
  </si>
  <si>
    <t>Basel-Stadt</t>
  </si>
  <si>
    <t>Basilea-Citad</t>
  </si>
  <si>
    <t>Basilea Città</t>
  </si>
  <si>
    <t>&lt;Zeilentitel_2.13&gt;</t>
  </si>
  <si>
    <t>Basel-Landschaft</t>
  </si>
  <si>
    <t>Basilea-Champagna</t>
  </si>
  <si>
    <t>Basilea Campagna</t>
  </si>
  <si>
    <t>&lt;Zeilentitel_2.14&gt;</t>
  </si>
  <si>
    <t>Schaffhausen</t>
  </si>
  <si>
    <t>Schaffusa</t>
  </si>
  <si>
    <t>Sciaffusa</t>
  </si>
  <si>
    <t>&lt;Zeilentitel_2.15&gt;</t>
  </si>
  <si>
    <t>Appenzell Ausserrhoden</t>
  </si>
  <si>
    <t>Appenzell Dadora</t>
  </si>
  <si>
    <t>Appenzello Esterno</t>
  </si>
  <si>
    <t>&lt;Zeilentitel_2.16&gt;</t>
  </si>
  <si>
    <t>Appenzell Innerrhoden</t>
  </si>
  <si>
    <t>Appenzell Dadens</t>
  </si>
  <si>
    <t>Appenzello Interno</t>
  </si>
  <si>
    <t>&lt;Zeilentitel_2.17&gt;</t>
  </si>
  <si>
    <t>St. Gallen</t>
  </si>
  <si>
    <t>Son Gagl</t>
  </si>
  <si>
    <t>San Gallo</t>
  </si>
  <si>
    <t>&lt;Zeilentitel_2.18&gt;</t>
  </si>
  <si>
    <t>Graubünden</t>
  </si>
  <si>
    <t>Grischun</t>
  </si>
  <si>
    <t>Grigioni</t>
  </si>
  <si>
    <t>&lt;Zeilentitel_2.19&gt;</t>
  </si>
  <si>
    <t>Aargau</t>
  </si>
  <si>
    <t>Argovia</t>
  </si>
  <si>
    <t>&lt;Zeilentitel_2.20&gt;</t>
  </si>
  <si>
    <t>Thurgau</t>
  </si>
  <si>
    <t>Turgovia</t>
  </si>
  <si>
    <t>&lt;Zeilentitel_2.21&gt;</t>
  </si>
  <si>
    <t>Ticino</t>
  </si>
  <si>
    <t>Tessin</t>
  </si>
  <si>
    <t>&lt;Zeilentitel_2.22&gt;</t>
  </si>
  <si>
    <t>Vaud</t>
  </si>
  <si>
    <t>Vad</t>
  </si>
  <si>
    <t>&lt;Zeilentitel_2.23&gt;</t>
  </si>
  <si>
    <t>Wallis</t>
  </si>
  <si>
    <t>Vallais</t>
  </si>
  <si>
    <t>Vallese</t>
  </si>
  <si>
    <t>&lt;Zeilentitel_2.24&gt;</t>
  </si>
  <si>
    <t>Neuchâtel</t>
  </si>
  <si>
    <t>&lt;Zeilentitel_2.25&gt;</t>
  </si>
  <si>
    <t>Genève</t>
  </si>
  <si>
    <t>Genevra</t>
  </si>
  <si>
    <t>Ginevra</t>
  </si>
  <si>
    <t>&lt;Zeilentitel_2.26&gt;</t>
  </si>
  <si>
    <t>Jura</t>
  </si>
  <si>
    <t>Giura</t>
  </si>
  <si>
    <t>&lt;Legende_1&gt;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</si>
  <si>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</si>
  <si>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</si>
  <si>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</si>
  <si>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</si>
  <si>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</si>
  <si>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</si>
  <si>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</si>
  <si>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&lt;Legende_3&gt;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</si>
  <si>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</si>
  <si>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</si>
  <si>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</si>
  <si>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&lt;Legende_4&gt;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</si>
  <si>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</si>
  <si>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</si>
  <si>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</si>
  <si>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&lt;Legende_5&gt;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</si>
  <si>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</si>
  <si>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</si>
  <si>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</si>
  <si>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</si>
  <si>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</si>
  <si>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T2</t>
  </si>
  <si>
    <t>&lt;T2Zeilentitel_1&gt;</t>
  </si>
  <si>
    <t>&lt;T2Zeilentitel_2&gt;</t>
  </si>
  <si>
    <t>Geschlecht</t>
  </si>
  <si>
    <t>Gender</t>
  </si>
  <si>
    <t>Sesso</t>
  </si>
  <si>
    <t>&lt;T2Zeilentitel_3&gt;</t>
  </si>
  <si>
    <t>Alter</t>
  </si>
  <si>
    <t>Vegliadetgna</t>
  </si>
  <si>
    <t>Età</t>
  </si>
  <si>
    <t>&lt;T2Zeilentitel_4&gt;</t>
  </si>
  <si>
    <t>Staatsangehörigkeit</t>
  </si>
  <si>
    <t>Naziunalitad</t>
  </si>
  <si>
    <t>&lt;T2Zeilentitel_5&gt;</t>
  </si>
  <si>
    <t>Migrationsstatus</t>
  </si>
  <si>
    <t>Status da migraziun</t>
  </si>
  <si>
    <t>&lt;T2Zeilentitel_6&gt;</t>
  </si>
  <si>
    <t>Sozioprofessionelle Kategorien</t>
  </si>
  <si>
    <t>Categorias socioprofessiunalas</t>
  </si>
  <si>
    <t>&lt;T2Zeilentitel_7&gt;</t>
  </si>
  <si>
    <t>Höchste abgeschlossene Ausbildung</t>
  </si>
  <si>
    <t>La pli auta scolaziun terminada</t>
  </si>
  <si>
    <t>&lt;T2Zeilentitel_2.1&gt;</t>
  </si>
  <si>
    <t>Männer</t>
  </si>
  <si>
    <t>Umens</t>
  </si>
  <si>
    <t>&lt;T2Zeilentitel_2.2&gt;</t>
  </si>
  <si>
    <t>Frauen</t>
  </si>
  <si>
    <t>Dunnas</t>
  </si>
  <si>
    <t>&lt;T2Zeilentitel_3.1&gt;</t>
  </si>
  <si>
    <t>15-24</t>
  </si>
  <si>
    <t>&lt;T2Zeilentitel_3.2&gt;</t>
  </si>
  <si>
    <t>25-44</t>
  </si>
  <si>
    <t>&lt;T2Zeilentitel_3.3&gt;</t>
  </si>
  <si>
    <t>45-64</t>
  </si>
  <si>
    <t>&lt;T2Zeilentitel_3.4&gt;</t>
  </si>
  <si>
    <t>65 und mehr</t>
  </si>
  <si>
    <t>65 e dapli</t>
  </si>
  <si>
    <t>&lt;T2Zeilentitel_4.1&gt;</t>
  </si>
  <si>
    <t>Schweiz</t>
  </si>
  <si>
    <t>Svizra</t>
  </si>
  <si>
    <t>&lt;T2Zeilentitel_4.2&gt;</t>
  </si>
  <si>
    <t>&lt;T2Zeilentitel_4.3&gt;</t>
  </si>
  <si>
    <t>Andere europäische Staaten</t>
  </si>
  <si>
    <t>Auters stadis europeics</t>
  </si>
  <si>
    <t>&lt;T2Zeilentitel_4.4&gt;</t>
  </si>
  <si>
    <t>Andere Staaten</t>
  </si>
  <si>
    <t>Auters stadis</t>
  </si>
  <si>
    <t>&lt;T2Zeilentitel_4.5&gt;</t>
  </si>
  <si>
    <t>Staatsangehörigkeit unbekannt</t>
  </si>
  <si>
    <t>Naziunalitad n'è betg enconuschenta</t>
  </si>
  <si>
    <t>&lt;T2Zeilentitel_5.1&gt;</t>
  </si>
  <si>
    <t>Schweizer/innen ohne Migrationshintergrund</t>
  </si>
  <si>
    <t>Svizzers senza retroterra da migraziun</t>
  </si>
  <si>
    <t>&lt;T2Zeilentitel_5.2&gt;</t>
  </si>
  <si>
    <t>Schweizer/innen mit Migrationshintergrund</t>
  </si>
  <si>
    <t>Svizzers cun ina migraziun</t>
  </si>
  <si>
    <t>&lt;T2Zeilentitel_5.3&gt;</t>
  </si>
  <si>
    <t>Ausländer/innen der ersten Generation</t>
  </si>
  <si>
    <t>Persunas estras da l'emprima generaziun</t>
  </si>
  <si>
    <t>&lt;T2Zeilentitel_5.4&gt;</t>
  </si>
  <si>
    <t>Ausländer/innen der zweiten und höheren Generation</t>
  </si>
  <si>
    <t>Persunas estras da la segunda generaziun e da l'emprima</t>
  </si>
  <si>
    <t>&lt;T2Zeilentitel_5.5&gt;</t>
  </si>
  <si>
    <t>Migrationshintergrund unbekannt</t>
  </si>
  <si>
    <t>La migraziun n'è betg enconuschenta</t>
  </si>
  <si>
    <t>&lt;T2Zeilentitel_6.1&gt;</t>
  </si>
  <si>
    <t>Oberstes Management</t>
  </si>
  <si>
    <t>Management suprem</t>
  </si>
  <si>
    <t>&lt;T2Zeilentitel_6.2&gt;</t>
  </si>
  <si>
    <t>Freie und gleichgestellte Berufe</t>
  </si>
  <si>
    <t>Professiuns libras ed egualas</t>
  </si>
  <si>
    <t>&lt;T2Zeilentitel_6.3&gt;</t>
  </si>
  <si>
    <t>Andere Selbstständige</t>
  </si>
  <si>
    <t>Autras persunas independentas</t>
  </si>
  <si>
    <t>&lt;T2Zeilentitel_6.4&gt;</t>
  </si>
  <si>
    <t>Akademische Berufe und oberes Kader</t>
  </si>
  <si>
    <t>Professiuns academicas e cader superiur</t>
  </si>
  <si>
    <t>&lt;T2Zeilentitel_6.5&gt;</t>
  </si>
  <si>
    <t>Intermediäre Berufe</t>
  </si>
  <si>
    <t>Professiuns intermediaras</t>
  </si>
  <si>
    <t>&lt;T2Zeilentitel_6.6&gt;</t>
  </si>
  <si>
    <t>Qualifizierte nichtmanuelle Berufe</t>
  </si>
  <si>
    <t>Professiuns betg manualas qualifitgadas</t>
  </si>
  <si>
    <t>&lt;T2Zeilentitel_6.7&gt;</t>
  </si>
  <si>
    <t>Qualifizierte manuelle Berufe</t>
  </si>
  <si>
    <t>Professiuns manualas qualifitgadas</t>
  </si>
  <si>
    <t>&lt;T2Zeilentitel_6.8&gt;</t>
  </si>
  <si>
    <t>Ungelernte Angestellte und Arbeiter</t>
  </si>
  <si>
    <t>Emploiads e lavurants betg emprendids</t>
  </si>
  <si>
    <t>&lt;T2Zeilentitel_6.9&gt;</t>
  </si>
  <si>
    <t>Lernende in dualer beruflicher Grundbildung (Lehrlinge)</t>
  </si>
  <si>
    <t>Emprendistas ed emprendists en ina furmaziun fundamentala professiunala dubla (emprendists)</t>
  </si>
  <si>
    <t>&lt;T2Zeilentitel_6.10&gt;</t>
  </si>
  <si>
    <t>Nicht zuteilbare Erwerbstätige (fehlende oder unklare Basisdaten oder unplausible Kombination)</t>
  </si>
  <si>
    <t>Persunas cun activitad da gudogn che n'èn betg attribuiblas (datas da basa mancantas u betg cleras u ina cumbinaziun inclausibla)</t>
  </si>
  <si>
    <t>&lt;T2Zeilentitel_6.11&gt;</t>
  </si>
  <si>
    <t>Erwerbslose und Nichterwerbspersonen</t>
  </si>
  <si>
    <t>Persunas senza activitad da gudogn e persunas senza activitad da gudogn</t>
  </si>
  <si>
    <t>&lt;T2Zeilentitel_7.1&gt;</t>
  </si>
  <si>
    <t>Obligatorische Schule</t>
  </si>
  <si>
    <t>Scola obligatorica</t>
  </si>
  <si>
    <t>&lt;T2Zeilentitel_7.2&gt;</t>
  </si>
  <si>
    <t>Sekundarstufe II</t>
  </si>
  <si>
    <t>Stgalim secundar II</t>
  </si>
  <si>
    <t>&lt;T2Zeilentitel_7.3&gt;</t>
  </si>
  <si>
    <t>Tertiärstufe</t>
  </si>
  <si>
    <t>Stgalim terziar</t>
  </si>
  <si>
    <t>&lt;T2Aktualisierung&gt;</t>
  </si>
  <si>
    <t>Erwerbsstatus nach Kanton</t>
  </si>
  <si>
    <t>Erwerbsstatus im Kanton Graubünden</t>
  </si>
  <si>
    <t>&lt;T2Titel&gt;</t>
  </si>
  <si>
    <t>Condizione professionale secondo il Cantone</t>
  </si>
  <si>
    <t>Persunas cun gudogn</t>
  </si>
  <si>
    <t>Persunas cun activitad da gudogn</t>
  </si>
  <si>
    <t>Independent</t>
  </si>
  <si>
    <t>Emploiada</t>
  </si>
  <si>
    <t>Persunas senza activitad da gudogn</t>
  </si>
  <si>
    <t>Persone attive</t>
  </si>
  <si>
    <t>Occupati</t>
  </si>
  <si>
    <t>Indipendenti</t>
  </si>
  <si>
    <t>Coadiuvanti nell'agenzia di famiglia</t>
  </si>
  <si>
    <t>Titolari dell'impresa (SA o Sagl)</t>
  </si>
  <si>
    <t>Collaboratori</t>
  </si>
  <si>
    <t>Persone in formazione professionale di base duale</t>
  </si>
  <si>
    <t>Disoccupati</t>
  </si>
  <si>
    <t>Persone senza attività professionale</t>
  </si>
  <si>
    <t>Cittadinanza</t>
  </si>
  <si>
    <t>Passato migratorio</t>
  </si>
  <si>
    <t>Categorie socio-professionali</t>
  </si>
  <si>
    <t>Formazione più elevata conclusa</t>
  </si>
  <si>
    <t>Uomini</t>
  </si>
  <si>
    <t>Donne</t>
  </si>
  <si>
    <t>65 e più</t>
  </si>
  <si>
    <t>Svizzera</t>
  </si>
  <si>
    <t>UE e AELS</t>
  </si>
  <si>
    <t>Altro paese europeo</t>
  </si>
  <si>
    <t>Paese extraeuropeo</t>
  </si>
  <si>
    <t>Cittadinanza sconosciuta</t>
  </si>
  <si>
    <t>Svizzeri/e senza un passato migratorio</t>
  </si>
  <si>
    <t>Svizzeri/e con un passato migratorio</t>
  </si>
  <si>
    <t>Stranieri/e di prima generazione</t>
  </si>
  <si>
    <t>Stranieri/e di seconda generazione e più</t>
  </si>
  <si>
    <t>Passato migratorio sconosciuto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</si>
  <si>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</si>
  <si>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</si>
  <si>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</si>
  <si>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</si>
  <si>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</si>
  <si>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</si>
  <si>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</si>
  <si>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</si>
  <si>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</si>
  <si>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</si>
  <si>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</si>
  <si>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</si>
  <si>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</si>
  <si>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</si>
  <si>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Status d'engaschament tenor il chantun</t>
  </si>
  <si>
    <t>Status d'engaschament en il chantun Grischun</t>
  </si>
  <si>
    <t>Condizione professionale nel Cantone dei Grigioni</t>
  </si>
  <si>
    <t>Letztmals aktualisiert am: 27.01.2024</t>
  </si>
  <si>
    <t>Ultima actualisaziun: 27.01.2024</t>
  </si>
  <si>
    <t>Ulimo aggiornamento: 27.01.2024</t>
  </si>
  <si>
    <t>EU und EFTA</t>
  </si>
  <si>
    <t>UE ed AECL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</si>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</sst>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1" formatCode="\(0\)"/>
    <numFmt numFmtId="172" formatCode="#\'###\'##0"/>
    <numFmt numFmtId="173" formatCode="#\'##0"/>
    <numFmt numFmtId="174" formatCode="\(#\'##0\)"/>
    <numFmt numFmtId="175" formatCode="\(##0\)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3" applyFont="1" applyFill="1" applyAlignment="1">
      <alignment horizontal="left" vertical="top"/>
    </xf>
    <xf numFmtId="164" fontId="8" fillId="2" borderId="0" xfId="4" applyNumberFormat="1" applyFont="1" applyFill="1" applyBorder="1" applyAlignment="1" applyProtection="1">
      <alignment horizontal="left" vertical="top"/>
    </xf>
    <xf numFmtId="0" fontId="9" fillId="2" borderId="0" xfId="3" applyFont="1" applyFill="1" applyAlignment="1">
      <alignment horizontal="right" vertical="center"/>
    </xf>
    <xf numFmtId="0" fontId="3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3" fontId="4" fillId="2" borderId="0" xfId="1" applyNumberFormat="1" applyFont="1" applyFill="1" applyBorder="1" applyAlignment="1" applyProtection="1">
      <alignment horizontal="right" wrapText="1"/>
    </xf>
    <xf numFmtId="165" fontId="4" fillId="2" borderId="0" xfId="2" applyNumberFormat="1" applyFont="1" applyFill="1" applyBorder="1" applyAlignment="1" applyProtection="1">
      <alignment horizontal="right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3" fontId="4" fillId="2" borderId="6" xfId="6" applyNumberFormat="1" applyFont="1" applyFill="1" applyBorder="1" applyAlignment="1" applyProtection="1">
      <alignment horizontal="right" vertical="center" wrapText="1"/>
    </xf>
    <xf numFmtId="171" fontId="4" fillId="2" borderId="6" xfId="6" applyNumberFormat="1" applyFont="1" applyFill="1" applyBorder="1" applyAlignment="1" applyProtection="1">
      <alignment horizontal="right" vertical="center" wrapText="1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vertical="top" wrapText="1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3" fontId="4" fillId="2" borderId="7" xfId="6" applyNumberFormat="1" applyFont="1" applyFill="1" applyBorder="1" applyAlignment="1" applyProtection="1">
      <alignment horizontal="left" vertical="center" wrapText="1"/>
    </xf>
    <xf numFmtId="3" fontId="4" fillId="3" borderId="7" xfId="6" applyNumberFormat="1" applyFont="1" applyFill="1" applyBorder="1" applyAlignment="1" applyProtection="1">
      <alignment horizontal="left" vertical="center" wrapText="1"/>
    </xf>
    <xf numFmtId="0" fontId="10" fillId="0" borderId="10" xfId="0" applyFont="1" applyBorder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8" borderId="0" xfId="0" applyFont="1" applyFill="1"/>
    <xf numFmtId="0" fontId="11" fillId="0" borderId="1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3" fontId="4" fillId="2" borderId="16" xfId="6" applyNumberFormat="1" applyFont="1" applyFill="1" applyBorder="1" applyAlignment="1" applyProtection="1">
      <alignment horizontal="left" vertical="center" wrapText="1"/>
    </xf>
    <xf numFmtId="0" fontId="0" fillId="2" borderId="3" xfId="0" applyFill="1" applyBorder="1"/>
    <xf numFmtId="0" fontId="10" fillId="0" borderId="15" xfId="0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0" borderId="0" xfId="0" applyFont="1" applyBorder="1"/>
    <xf numFmtId="0" fontId="10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8" fillId="2" borderId="0" xfId="3" applyFont="1" applyFill="1" applyBorder="1" applyAlignment="1">
      <alignment horizontal="left" vertical="top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0" fillId="3" borderId="2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1" fillId="0" borderId="2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10" fillId="0" borderId="17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20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167" fontId="4" fillId="2" borderId="1" xfId="6" applyNumberFormat="1" applyFont="1" applyFill="1" applyBorder="1" applyAlignment="1" applyProtection="1">
      <alignment horizontal="right" vertical="center" wrapText="1"/>
    </xf>
    <xf numFmtId="167" fontId="12" fillId="2" borderId="10" xfId="6" applyNumberFormat="1" applyFont="1" applyFill="1" applyBorder="1" applyAlignment="1" applyProtection="1">
      <alignment horizontal="right" vertical="center" wrapText="1"/>
    </xf>
    <xf numFmtId="167" fontId="4" fillId="2" borderId="11" xfId="6" applyNumberFormat="1" applyFont="1" applyFill="1" applyBorder="1" applyAlignment="1" applyProtection="1">
      <alignment horizontal="right" vertical="center" wrapText="1"/>
    </xf>
    <xf numFmtId="167" fontId="4" fillId="3" borderId="11" xfId="6" applyNumberFormat="1" applyFont="1" applyFill="1" applyBorder="1" applyAlignment="1" applyProtection="1">
      <alignment horizontal="right" vertical="center" wrapText="1"/>
    </xf>
    <xf numFmtId="167" fontId="4" fillId="2" borderId="9" xfId="6" applyNumberFormat="1" applyFont="1" applyFill="1" applyBorder="1" applyAlignment="1" applyProtection="1">
      <alignment horizontal="right" vertical="center" wrapText="1"/>
    </xf>
    <xf numFmtId="168" fontId="4" fillId="2" borderId="11" xfId="6" applyNumberFormat="1" applyFont="1" applyFill="1" applyBorder="1" applyAlignment="1" applyProtection="1">
      <alignment horizontal="right" vertical="center" wrapText="1"/>
    </xf>
    <xf numFmtId="168" fontId="4" fillId="2" borderId="9" xfId="6" applyNumberFormat="1" applyFont="1" applyFill="1" applyBorder="1" applyAlignment="1" applyProtection="1">
      <alignment horizontal="right" vertical="center" wrapText="1"/>
    </xf>
    <xf numFmtId="167" fontId="4" fillId="2" borderId="13" xfId="6" applyNumberFormat="1" applyFont="1" applyFill="1" applyBorder="1" applyAlignment="1" applyProtection="1">
      <alignment horizontal="right" vertical="center" wrapText="1"/>
    </xf>
    <xf numFmtId="0" fontId="11" fillId="2" borderId="11" xfId="2" applyNumberFormat="1" applyFont="1" applyFill="1" applyBorder="1" applyAlignment="1" applyProtection="1">
      <alignment horizontal="right" vertical="top" wrapText="1"/>
    </xf>
    <xf numFmtId="0" fontId="11" fillId="2" borderId="31" xfId="1" applyNumberFormat="1" applyFont="1" applyFill="1" applyBorder="1" applyAlignment="1" applyProtection="1">
      <alignment horizontal="right" vertical="top" wrapText="1"/>
    </xf>
    <xf numFmtId="172" fontId="12" fillId="2" borderId="32" xfId="6" applyNumberFormat="1" applyFont="1" applyFill="1" applyBorder="1" applyAlignment="1" applyProtection="1">
      <alignment horizontal="right" vertical="center" wrapText="1"/>
    </xf>
    <xf numFmtId="172" fontId="4" fillId="2" borderId="6" xfId="6" applyNumberFormat="1" applyFont="1" applyFill="1" applyBorder="1" applyAlignment="1" applyProtection="1">
      <alignment horizontal="right" vertical="center" wrapText="1"/>
    </xf>
    <xf numFmtId="173" fontId="4" fillId="2" borderId="6" xfId="6" applyNumberFormat="1" applyFont="1" applyFill="1" applyBorder="1" applyAlignment="1" applyProtection="1">
      <alignment horizontal="right" vertical="center" wrapText="1"/>
    </xf>
    <xf numFmtId="173" fontId="4" fillId="3" borderId="6" xfId="6" applyNumberFormat="1" applyFont="1" applyFill="1" applyBorder="1" applyAlignment="1" applyProtection="1">
      <alignment horizontal="right" vertical="center" wrapText="1"/>
    </xf>
    <xf numFmtId="173" fontId="4" fillId="2" borderId="12" xfId="6" applyNumberFormat="1" applyFont="1" applyFill="1" applyBorder="1" applyAlignment="1" applyProtection="1">
      <alignment horizontal="right" vertical="center" wrapText="1"/>
    </xf>
    <xf numFmtId="0" fontId="11" fillId="2" borderId="34" xfId="1" applyNumberFormat="1" applyFont="1" applyFill="1" applyBorder="1" applyAlignment="1" applyProtection="1">
      <alignment horizontal="right" vertical="top" wrapText="1"/>
    </xf>
    <xf numFmtId="173" fontId="12" fillId="2" borderId="32" xfId="6" applyNumberFormat="1" applyFont="1" applyFill="1" applyBorder="1" applyAlignment="1" applyProtection="1">
      <alignment horizontal="right" vertical="center" wrapText="1"/>
    </xf>
    <xf numFmtId="174" fontId="4" fillId="2" borderId="6" xfId="6" applyNumberFormat="1" applyFont="1" applyFill="1" applyBorder="1" applyAlignment="1" applyProtection="1">
      <alignment horizontal="right" vertical="center" wrapText="1"/>
    </xf>
    <xf numFmtId="175" fontId="4" fillId="2" borderId="6" xfId="6" applyNumberFormat="1" applyFont="1" applyFill="1" applyBorder="1" applyAlignment="1" applyProtection="1">
      <alignment horizontal="right" vertical="center" wrapText="1"/>
    </xf>
    <xf numFmtId="174" fontId="4" fillId="2" borderId="12" xfId="6" applyNumberFormat="1" applyFont="1" applyFill="1" applyBorder="1" applyAlignment="1" applyProtection="1">
      <alignment horizontal="right" vertical="center" wrapText="1"/>
    </xf>
    <xf numFmtId="1" fontId="4" fillId="2" borderId="6" xfId="6" applyNumberFormat="1" applyFont="1" applyFill="1" applyBorder="1" applyAlignment="1" applyProtection="1">
      <alignment horizontal="right" vertical="center" wrapText="1"/>
    </xf>
    <xf numFmtId="0" fontId="11" fillId="2" borderId="3" xfId="2" applyNumberFormat="1" applyFont="1" applyFill="1" applyBorder="1" applyAlignment="1" applyProtection="1">
      <alignment horizontal="right" vertical="top" wrapText="1"/>
    </xf>
    <xf numFmtId="167" fontId="14" fillId="2" borderId="11" xfId="6" applyNumberFormat="1" applyFont="1" applyFill="1" applyBorder="1" applyAlignment="1" applyProtection="1">
      <alignment horizontal="right" vertical="center" wrapText="1"/>
    </xf>
    <xf numFmtId="167" fontId="14" fillId="2" borderId="9" xfId="6" applyNumberFormat="1" applyFont="1" applyFill="1" applyBorder="1" applyAlignment="1" applyProtection="1">
      <alignment horizontal="right" vertical="center" wrapText="1"/>
    </xf>
    <xf numFmtId="0" fontId="11" fillId="2" borderId="9" xfId="2" applyNumberFormat="1" applyFont="1" applyFill="1" applyBorder="1" applyAlignment="1" applyProtection="1">
      <alignment horizontal="right" vertical="top" wrapText="1"/>
    </xf>
    <xf numFmtId="0" fontId="11" fillId="2" borderId="35" xfId="1" applyNumberFormat="1" applyFont="1" applyFill="1" applyBorder="1" applyAlignment="1" applyProtection="1">
      <alignment horizontal="right" vertical="top" wrapText="1"/>
    </xf>
    <xf numFmtId="3" fontId="4" fillId="2" borderId="12" xfId="6" applyNumberFormat="1" applyFont="1" applyFill="1" applyBorder="1" applyAlignment="1" applyProtection="1">
      <alignment horizontal="right" vertical="center" wrapText="1"/>
    </xf>
    <xf numFmtId="0" fontId="11" fillId="2" borderId="33" xfId="1" applyNumberFormat="1" applyFont="1" applyFill="1" applyBorder="1" applyAlignment="1" applyProtection="1">
      <alignment horizontal="right" vertical="top" wrapText="1"/>
    </xf>
    <xf numFmtId="171" fontId="4" fillId="2" borderId="12" xfId="6" applyNumberFormat="1" applyFont="1" applyFill="1" applyBorder="1" applyAlignment="1" applyProtection="1">
      <alignment horizontal="right" vertical="center" wrapText="1"/>
    </xf>
    <xf numFmtId="3" fontId="14" fillId="2" borderId="12" xfId="6" applyNumberFormat="1" applyFont="1" applyFill="1" applyBorder="1" applyAlignment="1" applyProtection="1">
      <alignment horizontal="right" vertical="center" wrapText="1"/>
    </xf>
    <xf numFmtId="1" fontId="4" fillId="2" borderId="12" xfId="6" applyNumberFormat="1" applyFont="1" applyFill="1" applyBorder="1" applyAlignment="1" applyProtection="1">
      <alignment horizontal="right" vertical="center" wrapText="1"/>
    </xf>
    <xf numFmtId="3" fontId="14" fillId="2" borderId="6" xfId="6" applyNumberFormat="1" applyFont="1" applyFill="1" applyBorder="1" applyAlignment="1" applyProtection="1">
      <alignment horizontal="right" vertical="center" wrapText="1"/>
    </xf>
    <xf numFmtId="0" fontId="11" fillId="2" borderId="36" xfId="2" applyNumberFormat="1" applyFont="1" applyFill="1" applyBorder="1" applyAlignment="1" applyProtection="1">
      <alignment horizontal="right" vertical="top" wrapText="1"/>
    </xf>
  </cellXfs>
  <cellStyles count="14">
    <cellStyle name="Komma" xfId="1" builtinId="3"/>
    <cellStyle name="Komma 2" xfId="4"/>
    <cellStyle name="Komma 3" xfId="6"/>
    <cellStyle name="Normale 2" xfId="13"/>
    <cellStyle name="Prozent" xfId="2" builtinId="5"/>
    <cellStyle name="Prozent 2" xfId="5"/>
    <cellStyle name="Standard" xfId="0" builtinId="0"/>
    <cellStyle name="Standard 2" xfId="3"/>
    <cellStyle name="Standard 2 2" xfId="10"/>
    <cellStyle name="Standard 2 3" xfId="7"/>
    <cellStyle name="Standard 3" xfId="8"/>
    <cellStyle name="Standard 4" xfId="9"/>
    <cellStyle name="Standard 4 2" xfId="11"/>
    <cellStyle name="Standard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774699</xdr:colOff>
      <xdr:row>0</xdr:row>
      <xdr:rowOff>22224</xdr:rowOff>
    </xdr:from>
    <xdr:to>
      <xdr:col>6</xdr:col>
      <xdr:colOff>274299</xdr:colOff>
      <xdr:row>4</xdr:row>
      <xdr:rowOff>160224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94299" y="22224"/>
          <a:ext cx="2700000" cy="900000"/>
          <a:chOff x="6010275" y="144910"/>
          <a:chExt cx="2047875" cy="819150"/>
        </a:xfrm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44910"/>
            <a:ext cx="2047875" cy="819150"/>
          </a:xfrm>
          <a:prstGeom prst="rect">
            <a:avLst/>
          </a:prstGeom>
          <a:solidFill>
            <a:srgbClr val="00B0F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3178175</xdr:colOff>
      <xdr:row>4</xdr:row>
      <xdr:rowOff>147077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09077"/>
        </a:xfrm>
        <a:prstGeom prst="rect">
          <a:avLst/>
        </a:prstGeom>
      </xdr:spPr>
    </xdr:pic>
    <xdr:clientData/>
  </xdr:twoCellAnchor>
  <xdr:twoCellAnchor>
    <xdr:from>
      <xdr:col>2</xdr:col>
      <xdr:colOff>6349</xdr:colOff>
      <xdr:row>0</xdr:row>
      <xdr:rowOff>19050</xdr:rowOff>
    </xdr:from>
    <xdr:to>
      <xdr:col>5</xdr:col>
      <xdr:colOff>306049</xdr:colOff>
      <xdr:row>4</xdr:row>
      <xdr:rowOff>157050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073649" y="19050"/>
          <a:ext cx="2700000" cy="900000"/>
          <a:chOff x="6010275" y="133350"/>
          <a:chExt cx="1919883" cy="819150"/>
        </a:xfrm>
      </xdr:grpSpPr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solidFill>
            <a:srgbClr val="00B0F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2" name="Gruppieren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</xdr:grpSpPr>
            <xdr:sp macro="" textlink="">
              <xdr:nvSpPr>
                <xdr:cNvPr id="3079" name="Option Button 7" hidden="1">
                  <a:extLst>
                    <a:ext uri="{63B3BB69-23CF-44E3-9099-C40C66FF867C}">
                      <a14:compatExt spid="_x0000_s3079"/>
                    </a:ext>
                    <a:ext uri="{FF2B5EF4-FFF2-40B4-BE49-F238E27FC236}">
                      <a16:creationId xmlns:a16="http://schemas.microsoft.com/office/drawing/2014/main" id="{00000000-0008-0000-0100-0000070C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3080" name="Option Button 8" hidden="1">
                  <a:extLst>
                    <a:ext uri="{63B3BB69-23CF-44E3-9099-C40C66FF867C}">
                      <a14:compatExt spid="_x0000_s3080"/>
                    </a:ext>
                    <a:ext uri="{FF2B5EF4-FFF2-40B4-BE49-F238E27FC236}">
                      <a16:creationId xmlns:a16="http://schemas.microsoft.com/office/drawing/2014/main" id="{00000000-0008-0000-0100-0000080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3081" name="Option Button 9" hidden="1">
                  <a:extLst>
                    <a:ext uri="{63B3BB69-23CF-44E3-9099-C40C66FF867C}">
                      <a14:compatExt spid="_x0000_s3081"/>
                    </a:ext>
                    <a:ext uri="{FF2B5EF4-FFF2-40B4-BE49-F238E27FC236}">
                      <a16:creationId xmlns:a16="http://schemas.microsoft.com/office/drawing/2014/main" id="{00000000-0008-0000-0100-0000090C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9"/>
  <sheetViews>
    <sheetView tabSelected="1" workbookViewId="0"/>
  </sheetViews>
  <sheetFormatPr baseColWidth="10" defaultColWidth="11.42578125" defaultRowHeight="12.75" x14ac:dyDescent="0.2"/>
  <cols>
    <col min="1" max="1" width="19.85546875" style="1" customWidth="1"/>
    <col min="2" max="2" width="46.42578125" style="1" customWidth="1"/>
    <col min="3" max="22" width="12" style="1" customWidth="1"/>
    <col min="23" max="16384" width="11.42578125" style="1"/>
  </cols>
  <sheetData>
    <row r="1" spans="1:22" s="2" customFormat="1" x14ac:dyDescent="0.2"/>
    <row r="2" spans="1:22" s="2" customFormat="1" ht="15.75" x14ac:dyDescent="0.25">
      <c r="B2" s="3"/>
      <c r="C2" s="1"/>
      <c r="D2" s="1"/>
    </row>
    <row r="3" spans="1:22" s="2" customFormat="1" ht="15.75" x14ac:dyDescent="0.25">
      <c r="B3" s="3"/>
      <c r="C3" s="1"/>
      <c r="D3" s="1"/>
    </row>
    <row r="4" spans="1:22" s="2" customFormat="1" ht="15.75" x14ac:dyDescent="0.25">
      <c r="B4" s="3"/>
      <c r="C4" s="1"/>
      <c r="D4" s="1"/>
    </row>
    <row r="5" spans="1:22" s="2" customFormat="1" x14ac:dyDescent="0.2"/>
    <row r="6" spans="1:22" s="2" customFormat="1" x14ac:dyDescent="0.2"/>
    <row r="7" spans="1:22" s="2" customFormat="1" ht="15.75" customHeight="1" x14ac:dyDescent="0.2">
      <c r="A7" s="63" t="str">
        <f>VLOOKUP("&lt;Fachbereich&gt;",Uebersetzungen!$B$3:$E$201,Uebersetzungen!$B$2+1,FALSE)</f>
        <v>Daten &amp; Statistik</v>
      </c>
      <c r="B7" s="63"/>
      <c r="C7" s="4"/>
      <c r="D7" s="4"/>
      <c r="E7" s="4"/>
      <c r="F7" s="4"/>
      <c r="G7" s="4"/>
      <c r="H7" s="4"/>
    </row>
    <row r="8" spans="1:22" s="2" customFormat="1" x14ac:dyDescent="0.2"/>
    <row r="9" spans="1:22" s="8" customFormat="1" ht="18" x14ac:dyDescent="0.2">
      <c r="A9" s="19" t="str">
        <f>VLOOKUP("&lt;Titel&gt;",Uebersetzungen!$B$3:$E$201,Uebersetzungen!$B$2+1,FALSE)</f>
        <v>Erwerbsstatus nach Kanton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2" s="8" customFormat="1" ht="15" x14ac:dyDescent="0.2">
      <c r="A10" s="20" t="str">
        <f>VLOOKUP("&lt;UTitel&gt;",Uebersetzungen!$B$3:$E$201,Uebersetzungen!$B$2+1,FALSE)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2" s="8" customFormat="1" ht="15.75" thickBot="1" x14ac:dyDescent="0.25">
      <c r="A11" s="20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2" ht="18.75" thickBot="1" x14ac:dyDescent="0.3">
      <c r="B12" s="34"/>
      <c r="C12" s="65">
        <v>2023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7"/>
    </row>
    <row r="13" spans="1:22" ht="39" customHeight="1" thickBot="1" x14ac:dyDescent="0.25">
      <c r="A13" s="10"/>
      <c r="B13" s="56"/>
      <c r="C13" s="64" t="str">
        <f>VLOOKUP("&lt;SpaltenTitel_1&gt;",Uebersetzungen!$B$3:$E$201,Uebersetzungen!$B$2+1,FALSE)</f>
        <v>Total</v>
      </c>
      <c r="D13" s="61"/>
      <c r="E13" s="61" t="str">
        <f>VLOOKUP("&lt;SpaltenTitel_2&gt;",Uebersetzungen!$B$3:$E$201,Uebersetzungen!$B$2+1,FALSE)</f>
        <v>Erwerbspersonen</v>
      </c>
      <c r="F13" s="61"/>
      <c r="G13" s="61" t="str">
        <f>VLOOKUP("&lt;SpaltenTitel_3&gt;",Uebersetzungen!$B$3:$E$201,Uebersetzungen!$B$2+1,FALSE)</f>
        <v>Erwerbstätige</v>
      </c>
      <c r="H13" s="61"/>
      <c r="I13" s="61" t="str">
        <f>VLOOKUP("&lt;SpaltenTitel_4&gt;",Uebersetzungen!$B$3:$E$201,Uebersetzungen!$B$2+1,FALSE)</f>
        <v>Selbständige</v>
      </c>
      <c r="J13" s="61"/>
      <c r="K13" s="61" t="str">
        <f>VLOOKUP("&lt;SpaltenTitel_5&gt;",Uebersetzungen!$B$3:$E$201,Uebersetzungen!$B$2+1,FALSE)</f>
        <v>Mitarbeitende Familienmitglieder</v>
      </c>
      <c r="L13" s="61"/>
      <c r="M13" s="61" t="str">
        <f>VLOOKUP("&lt;SpaltenTitel_6&gt;",Uebersetzungen!$B$3:$E$201,Uebersetzungen!$B$2+1,FALSE)</f>
        <v>Firmeneigentümer/-innen (AG oder GmbH)</v>
      </c>
      <c r="N13" s="61"/>
      <c r="O13" s="61" t="str">
        <f>VLOOKUP("&lt;SpaltenTitel_7&gt;",Uebersetzungen!$B$3:$E$201,Uebersetzungen!$B$2+1,FALSE)</f>
        <v>Angestellte</v>
      </c>
      <c r="P13" s="61"/>
      <c r="Q13" s="61" t="str">
        <f>VLOOKUP("&lt;SpaltenTitel_8&gt;",Uebersetzungen!$B$3:$E$201,Uebersetzungen!$B$2+1,FALSE)</f>
        <v>Lernende in der dualen beruflichen Grundbildung</v>
      </c>
      <c r="R13" s="61"/>
      <c r="S13" s="61" t="str">
        <f>VLOOKUP("&lt;SpaltenTitel_9&gt;",Uebersetzungen!$B$3:$E$201,Uebersetzungen!$B$2+1,FALSE)</f>
        <v>Erwerbslose</v>
      </c>
      <c r="T13" s="61"/>
      <c r="U13" s="61" t="str">
        <f>VLOOKUP("&lt;SpaltenTitel_10&gt;",Uebersetzungen!$B$3:$E$201,Uebersetzungen!$B$2+1,FALSE)</f>
        <v>Nichterwerbspersonen</v>
      </c>
      <c r="V13" s="62"/>
    </row>
    <row r="14" spans="1:22" ht="39.75" customHeight="1" thickBot="1" x14ac:dyDescent="0.25">
      <c r="A14" s="21"/>
      <c r="B14" s="21"/>
      <c r="C14" s="88" t="str">
        <f>VLOOKUP("&lt;SpaltenTitel_1.1&gt;",Uebersetzungen!$B$3:$E$201,Uebersetzungen!$B$2+1,FALSE)</f>
        <v>Anzahl Personen</v>
      </c>
      <c r="D14" s="87" t="str">
        <f>VLOOKUP("&lt;SpaltenTitel_1.2&gt;",Uebersetzungen!$B$3:$E$201,Uebersetzungen!$B$2+1,FALSE)</f>
        <v>Vertrauens- intervall:          ± (in %)</v>
      </c>
      <c r="E14" s="94" t="str">
        <f>VLOOKUP("&lt;SpaltenTitel_1.1&gt;",Uebersetzungen!$B$3:$E$201,Uebersetzungen!$B$2+1,FALSE)</f>
        <v>Anzahl Personen</v>
      </c>
      <c r="F14" s="87" t="str">
        <f>VLOOKUP("&lt;SpaltenTitel_1.2&gt;",Uebersetzungen!$B$3:$E$201,Uebersetzungen!$B$2+1,FALSE)</f>
        <v>Vertrauens- intervall:          ± (in %)</v>
      </c>
      <c r="G14" s="94" t="str">
        <f>VLOOKUP("&lt;SpaltenTitel_1.1&gt;",Uebersetzungen!$B$3:$E$201,Uebersetzungen!$B$2+1,FALSE)</f>
        <v>Anzahl Personen</v>
      </c>
      <c r="H14" s="87" t="str">
        <f>VLOOKUP("&lt;SpaltenTitel_1.2&gt;",Uebersetzungen!$B$3:$E$201,Uebersetzungen!$B$2+1,FALSE)</f>
        <v>Vertrauens- intervall:          ± (in %)</v>
      </c>
      <c r="I14" s="94" t="str">
        <f>VLOOKUP("&lt;SpaltenTitel_1.1&gt;",Uebersetzungen!$B$3:$E$201,Uebersetzungen!$B$2+1,FALSE)</f>
        <v>Anzahl Personen</v>
      </c>
      <c r="J14" s="87" t="str">
        <f>VLOOKUP("&lt;SpaltenTitel_1.2&gt;",Uebersetzungen!$B$3:$E$201,Uebersetzungen!$B$2+1,FALSE)</f>
        <v>Vertrauens- intervall:          ± (in %)</v>
      </c>
      <c r="K14" s="94" t="str">
        <f>VLOOKUP("&lt;SpaltenTitel_1.1&gt;",Uebersetzungen!$B$3:$E$201,Uebersetzungen!$B$2+1,FALSE)</f>
        <v>Anzahl Personen</v>
      </c>
      <c r="L14" s="87" t="str">
        <f>VLOOKUP("&lt;SpaltenTitel_1.2&gt;",Uebersetzungen!$B$3:$E$201,Uebersetzungen!$B$2+1,FALSE)</f>
        <v>Vertrauens- intervall:          ± (in %)</v>
      </c>
      <c r="M14" s="94" t="str">
        <f>VLOOKUP("&lt;SpaltenTitel_1.1&gt;",Uebersetzungen!$B$3:$E$201,Uebersetzungen!$B$2+1,FALSE)</f>
        <v>Anzahl Personen</v>
      </c>
      <c r="N14" s="87" t="str">
        <f>VLOOKUP("&lt;SpaltenTitel_1.2&gt;",Uebersetzungen!$B$3:$E$201,Uebersetzungen!$B$2+1,FALSE)</f>
        <v>Vertrauens- intervall:          ± (in %)</v>
      </c>
      <c r="O14" s="94" t="str">
        <f>VLOOKUP("&lt;SpaltenTitel_1.1&gt;",Uebersetzungen!$B$3:$E$201,Uebersetzungen!$B$2+1,FALSE)</f>
        <v>Anzahl Personen</v>
      </c>
      <c r="P14" s="87" t="str">
        <f>VLOOKUP("&lt;SpaltenTitel_1.2&gt;",Uebersetzungen!$B$3:$E$201,Uebersetzungen!$B$2+1,FALSE)</f>
        <v>Vertrauens- intervall:          ± (in %)</v>
      </c>
      <c r="Q14" s="94" t="str">
        <f>VLOOKUP("&lt;SpaltenTitel_1.1&gt;",Uebersetzungen!$B$3:$E$201,Uebersetzungen!$B$2+1,FALSE)</f>
        <v>Anzahl Personen</v>
      </c>
      <c r="R14" s="87" t="str">
        <f>VLOOKUP("&lt;SpaltenTitel_1.2&gt;",Uebersetzungen!$B$3:$E$201,Uebersetzungen!$B$2+1,FALSE)</f>
        <v>Vertrauens- intervall:          ± (in %)</v>
      </c>
      <c r="S14" s="94" t="str">
        <f>VLOOKUP("&lt;SpaltenTitel_1.1&gt;",Uebersetzungen!$B$3:$E$201,Uebersetzungen!$B$2+1,FALSE)</f>
        <v>Anzahl Personen</v>
      </c>
      <c r="T14" s="87" t="str">
        <f>VLOOKUP("&lt;SpaltenTitel_1.2&gt;",Uebersetzungen!$B$3:$E$201,Uebersetzungen!$B$2+1,FALSE)</f>
        <v>Vertrauens- intervall:          ± (in %)</v>
      </c>
      <c r="U14" s="94" t="str">
        <f>VLOOKUP("&lt;SpaltenTitel_1.1&gt;",Uebersetzungen!$B$3:$E$201,Uebersetzungen!$B$2+1,FALSE)</f>
        <v>Anzahl Personen</v>
      </c>
      <c r="V14" s="100" t="str">
        <f>VLOOKUP("&lt;SpaltenTitel_1.2&gt;",Uebersetzungen!$B$3:$E$201,Uebersetzungen!$B$2+1,FALSE)</f>
        <v>Vertrauens- intervall:          ± (in %)</v>
      </c>
    </row>
    <row r="15" spans="1:22" ht="12" customHeight="1" x14ac:dyDescent="0.2">
      <c r="A15" s="35" t="str">
        <f>VLOOKUP("&lt;Zeilentitel_1&gt;",Uebersetzungen!$B$3:$E$200,Uebersetzungen!$B$2+1,FALSE)</f>
        <v>Total</v>
      </c>
      <c r="B15" s="26"/>
      <c r="C15" s="89">
        <v>7424121.9999999832</v>
      </c>
      <c r="D15" s="80">
        <v>5.4624157975364664E-2</v>
      </c>
      <c r="E15" s="89">
        <v>4769784.3848598516</v>
      </c>
      <c r="F15" s="80">
        <v>0.29743764334010214</v>
      </c>
      <c r="G15" s="89">
        <v>4553575.7732255226</v>
      </c>
      <c r="H15" s="80">
        <v>0.31335813358670361</v>
      </c>
      <c r="I15" s="95">
        <v>294445.39742926077</v>
      </c>
      <c r="J15" s="80">
        <v>1.896478562369009</v>
      </c>
      <c r="K15" s="95">
        <v>161415.94215957954</v>
      </c>
      <c r="L15" s="80">
        <v>2.7288178733578072</v>
      </c>
      <c r="M15" s="95">
        <v>265719.67690313974</v>
      </c>
      <c r="N15" s="80">
        <v>2.0097029761487391</v>
      </c>
      <c r="O15" s="89">
        <v>3721371.2023576959</v>
      </c>
      <c r="P15" s="80">
        <v>0.39110483621731723</v>
      </c>
      <c r="Q15" s="95">
        <v>110623.55437583949</v>
      </c>
      <c r="R15" s="80">
        <v>3.3394038361278948</v>
      </c>
      <c r="S15" s="95">
        <v>216208.61163433341</v>
      </c>
      <c r="T15" s="80">
        <v>2.3057819750457065</v>
      </c>
      <c r="U15" s="89">
        <v>2654337.6151401345</v>
      </c>
      <c r="V15" s="80">
        <v>0.51254906329496797</v>
      </c>
    </row>
    <row r="16" spans="1:22" x14ac:dyDescent="0.2">
      <c r="A16" s="59" t="str">
        <f>VLOOKUP("&lt;Zeilentitel_2&gt;",Uebersetzungen!$B$3:$E$200,Uebersetzungen!$B$2+1,FALSE)</f>
        <v>Kanton</v>
      </c>
      <c r="B16" s="24" t="str">
        <f>VLOOKUP("&lt;Zeilentitel_2.1&gt;",Uebersetzungen!$B$3:$E$200,Uebersetzungen!$B$2+1,FALSE)</f>
        <v>Zürich</v>
      </c>
      <c r="C16" s="90">
        <v>1333436.0000000033</v>
      </c>
      <c r="D16" s="81">
        <v>0.14275710992642127</v>
      </c>
      <c r="E16" s="91">
        <v>908273.81399324769</v>
      </c>
      <c r="F16" s="81">
        <v>0.71261358232162697</v>
      </c>
      <c r="G16" s="91">
        <v>871399.3889474615</v>
      </c>
      <c r="H16" s="81">
        <v>0.75249191617005107</v>
      </c>
      <c r="I16" s="91">
        <v>49091.011285339118</v>
      </c>
      <c r="J16" s="81">
        <v>5.1425324283245644</v>
      </c>
      <c r="K16" s="91">
        <v>29037.114946030619</v>
      </c>
      <c r="L16" s="81">
        <v>6.9645473590855564</v>
      </c>
      <c r="M16" s="91">
        <v>49538.511488986042</v>
      </c>
      <c r="N16" s="81">
        <v>5.1200822764050189</v>
      </c>
      <c r="O16" s="91">
        <v>724519.58474720642</v>
      </c>
      <c r="P16" s="81">
        <v>0.93830713993972681</v>
      </c>
      <c r="Q16" s="91">
        <v>19213.166479898668</v>
      </c>
      <c r="R16" s="81">
        <v>8.7587120391837061</v>
      </c>
      <c r="S16" s="91">
        <v>36874.425045787066</v>
      </c>
      <c r="T16" s="81">
        <v>6.3297120596254377</v>
      </c>
      <c r="U16" s="91">
        <v>425162.18600675557</v>
      </c>
      <c r="V16" s="86">
        <v>1.470390351352431</v>
      </c>
    </row>
    <row r="17" spans="1:22" x14ac:dyDescent="0.2">
      <c r="A17" s="59"/>
      <c r="B17" s="24" t="str">
        <f>VLOOKUP("&lt;Zeilentitel_2.2&gt;",Uebersetzungen!$B$3:$E$200,Uebersetzungen!$B$2+1,FALSE)</f>
        <v>Bern</v>
      </c>
      <c r="C17" s="91">
        <v>888558.00000001071</v>
      </c>
      <c r="D17" s="81">
        <v>0.14802321954762568</v>
      </c>
      <c r="E17" s="91">
        <v>570144.96103453927</v>
      </c>
      <c r="F17" s="81">
        <v>0.94077447734488007</v>
      </c>
      <c r="G17" s="91">
        <v>553464.34325556515</v>
      </c>
      <c r="H17" s="81">
        <v>0.97329075845830437</v>
      </c>
      <c r="I17" s="91">
        <v>37042.851240656302</v>
      </c>
      <c r="J17" s="81">
        <v>5.8662039318269965</v>
      </c>
      <c r="K17" s="91">
        <v>20310.351233049732</v>
      </c>
      <c r="L17" s="81">
        <v>8.2499940776434908</v>
      </c>
      <c r="M17" s="91">
        <v>29581.778715360335</v>
      </c>
      <c r="N17" s="81">
        <v>6.5769197699756639</v>
      </c>
      <c r="O17" s="91">
        <v>451634.45296597655</v>
      </c>
      <c r="P17" s="81">
        <v>1.2171479958448388</v>
      </c>
      <c r="Q17" s="91">
        <v>14894.909100521605</v>
      </c>
      <c r="R17" s="81">
        <v>9.6406157189600705</v>
      </c>
      <c r="S17" s="91">
        <v>16680.617778974418</v>
      </c>
      <c r="T17" s="81">
        <v>9.4282016021804846</v>
      </c>
      <c r="U17" s="91">
        <v>318413.03896547179</v>
      </c>
      <c r="V17" s="81">
        <v>1.6074941894486745</v>
      </c>
    </row>
    <row r="18" spans="1:22" x14ac:dyDescent="0.2">
      <c r="A18" s="59"/>
      <c r="B18" s="24" t="str">
        <f>VLOOKUP("&lt;Zeilentitel_2.3&gt;",Uebersetzungen!$B$3:$E$200,Uebersetzungen!$B$2+1,FALSE)</f>
        <v>Luzern</v>
      </c>
      <c r="C18" s="91">
        <v>358552.99999999313</v>
      </c>
      <c r="D18" s="81">
        <v>0.19826529697964398</v>
      </c>
      <c r="E18" s="91">
        <v>240873.95727772149</v>
      </c>
      <c r="F18" s="81">
        <v>0.98750729574408191</v>
      </c>
      <c r="G18" s="91">
        <v>233403.22700715836</v>
      </c>
      <c r="H18" s="81">
        <v>1.024599405647509</v>
      </c>
      <c r="I18" s="91">
        <v>13136.640295595318</v>
      </c>
      <c r="J18" s="81">
        <v>6.9428401609979504</v>
      </c>
      <c r="K18" s="91">
        <v>11030.42621831016</v>
      </c>
      <c r="L18" s="81">
        <v>7.9185643226948539</v>
      </c>
      <c r="M18" s="91">
        <v>15596.226319915804</v>
      </c>
      <c r="N18" s="81">
        <v>6.3531205976340965</v>
      </c>
      <c r="O18" s="91">
        <v>187464.81614361762</v>
      </c>
      <c r="P18" s="81">
        <v>1.3197402809008767</v>
      </c>
      <c r="Q18" s="91">
        <v>6175.1180297198498</v>
      </c>
      <c r="R18" s="81">
        <v>10.722652296059051</v>
      </c>
      <c r="S18" s="91">
        <v>7470.7302705630391</v>
      </c>
      <c r="T18" s="81">
        <v>10.142805703545271</v>
      </c>
      <c r="U18" s="91">
        <v>117679.04272227135</v>
      </c>
      <c r="V18" s="81">
        <v>1.9328887321489343</v>
      </c>
    </row>
    <row r="19" spans="1:22" x14ac:dyDescent="0.2">
      <c r="A19" s="59"/>
      <c r="B19" s="24" t="str">
        <f>VLOOKUP("&lt;Zeilentitel_2.4&gt;",Uebersetzungen!$B$3:$E$200,Uebersetzungen!$B$2+1,FALSE)</f>
        <v>Uri</v>
      </c>
      <c r="C19" s="91">
        <v>31562.000000000065</v>
      </c>
      <c r="D19" s="81">
        <v>1.1178706080999914</v>
      </c>
      <c r="E19" s="91">
        <v>19797.466535410058</v>
      </c>
      <c r="F19" s="81">
        <v>5.4024154180793929</v>
      </c>
      <c r="G19" s="91">
        <v>19337.77464301388</v>
      </c>
      <c r="H19" s="81">
        <v>5.4874023125573252</v>
      </c>
      <c r="I19" s="96">
        <v>1214.5827050575294</v>
      </c>
      <c r="J19" s="84">
        <v>33.296516488726049</v>
      </c>
      <c r="K19" s="97">
        <v>747.4242382700138</v>
      </c>
      <c r="L19" s="84">
        <v>43.296494861233661</v>
      </c>
      <c r="M19" s="96">
        <v>1121.3151023912251</v>
      </c>
      <c r="N19" s="84">
        <v>34.094330947640557</v>
      </c>
      <c r="O19" s="91">
        <v>15611.054847419264</v>
      </c>
      <c r="P19" s="81">
        <v>6.9099351275226306</v>
      </c>
      <c r="Q19" s="97">
        <v>643.39774987584497</v>
      </c>
      <c r="R19" s="84">
        <v>43.440018903741588</v>
      </c>
      <c r="S19" s="97">
        <v>459.6918923961851</v>
      </c>
      <c r="T19" s="84">
        <v>66.119635221169432</v>
      </c>
      <c r="U19" s="91">
        <v>11764.533464589997</v>
      </c>
      <c r="V19" s="81">
        <v>8.206659772138682</v>
      </c>
    </row>
    <row r="20" spans="1:22" x14ac:dyDescent="0.2">
      <c r="A20" s="59"/>
      <c r="B20" s="24" t="str">
        <f>VLOOKUP("&lt;Zeilentitel_2.5&gt;",Uebersetzungen!$B$3:$E$200,Uebersetzungen!$B$2+1,FALSE)</f>
        <v>Schwyz</v>
      </c>
      <c r="C20" s="91">
        <v>140630.99999999997</v>
      </c>
      <c r="D20" s="81">
        <v>0.39258717642498697</v>
      </c>
      <c r="E20" s="91">
        <v>93280.820008192095</v>
      </c>
      <c r="F20" s="81">
        <v>2.2195263576203459</v>
      </c>
      <c r="G20" s="91">
        <v>90567.942646790296</v>
      </c>
      <c r="H20" s="81">
        <v>2.2989425162461381</v>
      </c>
      <c r="I20" s="91">
        <v>5401.6334350212574</v>
      </c>
      <c r="J20" s="81">
        <v>15.304347552651919</v>
      </c>
      <c r="K20" s="91">
        <v>4946.0891384649558</v>
      </c>
      <c r="L20" s="81">
        <v>16.637439408277228</v>
      </c>
      <c r="M20" s="91">
        <v>8400.2391064707663</v>
      </c>
      <c r="N20" s="81">
        <v>12.067785909552857</v>
      </c>
      <c r="O20" s="91">
        <v>69228.628750302276</v>
      </c>
      <c r="P20" s="81">
        <v>3.1195708418137791</v>
      </c>
      <c r="Q20" s="91">
        <v>2591.3522165310637</v>
      </c>
      <c r="R20" s="81">
        <v>23.531014072548391</v>
      </c>
      <c r="S20" s="91">
        <v>2712.87736140176</v>
      </c>
      <c r="T20" s="81">
        <v>23.725292746624039</v>
      </c>
      <c r="U20" s="91">
        <v>47350.17999180789</v>
      </c>
      <c r="V20" s="81">
        <v>4.3996028729379466</v>
      </c>
    </row>
    <row r="21" spans="1:22" x14ac:dyDescent="0.2">
      <c r="A21" s="59"/>
      <c r="B21" s="24" t="str">
        <f>VLOOKUP("&lt;Zeilentitel_2.6&gt;",Uebersetzungen!$B$3:$E$200,Uebersetzungen!$B$2+1,FALSE)</f>
        <v>Obwalden</v>
      </c>
      <c r="C21" s="91">
        <v>32753.000000000207</v>
      </c>
      <c r="D21" s="81">
        <v>0.85061838595665284</v>
      </c>
      <c r="E21" s="91">
        <v>21394.503069662795</v>
      </c>
      <c r="F21" s="81">
        <v>4.7815848570167763</v>
      </c>
      <c r="G21" s="91">
        <v>21067.729681794022</v>
      </c>
      <c r="H21" s="81">
        <v>4.8731363800831193</v>
      </c>
      <c r="I21" s="96">
        <v>1423.5397801301654</v>
      </c>
      <c r="J21" s="84">
        <v>29.316460511504825</v>
      </c>
      <c r="K21" s="96">
        <v>1024.3655392189141</v>
      </c>
      <c r="L21" s="84">
        <v>35.685942466669424</v>
      </c>
      <c r="M21" s="96">
        <v>1567.3605299671344</v>
      </c>
      <c r="N21" s="84">
        <v>27.657542362671361</v>
      </c>
      <c r="O21" s="91">
        <v>16157.331662157052</v>
      </c>
      <c r="P21" s="81">
        <v>6.5275302431310758</v>
      </c>
      <c r="Q21" s="97">
        <v>895.13217032075022</v>
      </c>
      <c r="R21" s="84">
        <v>38.319580023719404</v>
      </c>
      <c r="S21" s="97">
        <v>326.77338786877459</v>
      </c>
      <c r="T21" s="84">
        <v>64.847106033459909</v>
      </c>
      <c r="U21" s="91">
        <v>11358.496930337418</v>
      </c>
      <c r="V21" s="81">
        <v>8.264133111258305</v>
      </c>
    </row>
    <row r="22" spans="1:22" x14ac:dyDescent="0.2">
      <c r="A22" s="59"/>
      <c r="B22" s="24" t="str">
        <f>VLOOKUP("&lt;Zeilentitel_2.7&gt;",Uebersetzungen!$B$3:$E$200,Uebersetzungen!$B$2+1,FALSE)</f>
        <v>Nidwalden</v>
      </c>
      <c r="C22" s="91">
        <v>38257.999999999949</v>
      </c>
      <c r="D22" s="81">
        <v>0.92153462067468928</v>
      </c>
      <c r="E22" s="91">
        <v>25345.915621028278</v>
      </c>
      <c r="F22" s="81">
        <v>4.3556973458440664</v>
      </c>
      <c r="G22" s="91">
        <v>24792.334018335809</v>
      </c>
      <c r="H22" s="81">
        <v>4.4815952388135036</v>
      </c>
      <c r="I22" s="96">
        <v>1701.3462130299322</v>
      </c>
      <c r="J22" s="84">
        <v>27.230146593903111</v>
      </c>
      <c r="K22" s="96">
        <v>1102.7541422177387</v>
      </c>
      <c r="L22" s="84">
        <v>35.180604967126527</v>
      </c>
      <c r="M22" s="91">
        <v>1892.0707491283331</v>
      </c>
      <c r="N22" s="81">
        <v>25.374117560920819</v>
      </c>
      <c r="O22" s="91">
        <v>19469.216605387792</v>
      </c>
      <c r="P22" s="81">
        <v>5.9082168160093351</v>
      </c>
      <c r="Q22" s="97">
        <v>626.94630857201105</v>
      </c>
      <c r="R22" s="84">
        <v>48.905987753137829</v>
      </c>
      <c r="S22" s="97">
        <v>553.58160269246332</v>
      </c>
      <c r="T22" s="84">
        <v>50.503278107754134</v>
      </c>
      <c r="U22" s="91">
        <v>12912.084378971678</v>
      </c>
      <c r="V22" s="81">
        <v>8.2849787787595339</v>
      </c>
    </row>
    <row r="23" spans="1:22" x14ac:dyDescent="0.2">
      <c r="A23" s="59"/>
      <c r="B23" s="24" t="str">
        <f>VLOOKUP("&lt;Zeilentitel_2.8&gt;",Uebersetzungen!$B$3:$E$200,Uebersetzungen!$B$2+1,FALSE)</f>
        <v>Glarus</v>
      </c>
      <c r="C23" s="91">
        <v>34960.000000000007</v>
      </c>
      <c r="D23" s="81">
        <v>1.0308871229781433</v>
      </c>
      <c r="E23" s="91">
        <v>21854.891657370616</v>
      </c>
      <c r="F23" s="81">
        <v>5.2594179322208401</v>
      </c>
      <c r="G23" s="91">
        <v>21298.514977159852</v>
      </c>
      <c r="H23" s="81">
        <v>5.4052679005571269</v>
      </c>
      <c r="I23" s="96">
        <v>1359.5855941786494</v>
      </c>
      <c r="J23" s="84">
        <v>32.149416151849508</v>
      </c>
      <c r="K23" s="97">
        <v>910.87864813401757</v>
      </c>
      <c r="L23" s="84">
        <v>39.31877982313577</v>
      </c>
      <c r="M23" s="91">
        <v>1917.5377018630397</v>
      </c>
      <c r="N23" s="81">
        <v>26.922611614552135</v>
      </c>
      <c r="O23" s="91">
        <v>16368.026586392485</v>
      </c>
      <c r="P23" s="81">
        <v>7.0670159252970599</v>
      </c>
      <c r="Q23" s="97">
        <v>742.48644659165632</v>
      </c>
      <c r="R23" s="84">
        <v>46.735723571457925</v>
      </c>
      <c r="S23" s="97">
        <v>556.37668021075558</v>
      </c>
      <c r="T23" s="84">
        <v>54.261888021040114</v>
      </c>
      <c r="U23" s="91">
        <v>13105.108342629401</v>
      </c>
      <c r="V23" s="81">
        <v>8.045795307842873</v>
      </c>
    </row>
    <row r="24" spans="1:22" x14ac:dyDescent="0.2">
      <c r="A24" s="59"/>
      <c r="B24" s="24" t="str">
        <f>VLOOKUP("&lt;Zeilentitel_2.9&gt;",Uebersetzungen!$B$3:$E$200,Uebersetzungen!$B$2+1,FALSE)</f>
        <v>Zug</v>
      </c>
      <c r="C24" s="91">
        <v>110118.99999999857</v>
      </c>
      <c r="D24" s="81">
        <v>0.31952931198563689</v>
      </c>
      <c r="E24" s="91">
        <v>73238.183898983349</v>
      </c>
      <c r="F24" s="81">
        <v>1.7564812203336635</v>
      </c>
      <c r="G24" s="91">
        <v>70380.599386910646</v>
      </c>
      <c r="H24" s="81">
        <v>1.8472500646473031</v>
      </c>
      <c r="I24" s="91">
        <v>3568.8161132072273</v>
      </c>
      <c r="J24" s="81">
        <v>13.223607362332952</v>
      </c>
      <c r="K24" s="91">
        <v>2723.0221220054636</v>
      </c>
      <c r="L24" s="81">
        <v>15.732247375786754</v>
      </c>
      <c r="M24" s="91">
        <v>5721.2558522892996</v>
      </c>
      <c r="N24" s="81">
        <v>10.229788931358831</v>
      </c>
      <c r="O24" s="91">
        <v>56855.060243293861</v>
      </c>
      <c r="P24" s="81">
        <v>2.3602680754531522</v>
      </c>
      <c r="Q24" s="91">
        <v>1512.445056114761</v>
      </c>
      <c r="R24" s="81">
        <v>21.785930971895294</v>
      </c>
      <c r="S24" s="91">
        <v>2857.5845120726617</v>
      </c>
      <c r="T24" s="81">
        <v>15.583409062272409</v>
      </c>
      <c r="U24" s="91">
        <v>36880.816101015291</v>
      </c>
      <c r="V24" s="81">
        <v>3.4380354173528045</v>
      </c>
    </row>
    <row r="25" spans="1:22" x14ac:dyDescent="0.2">
      <c r="A25" s="59"/>
      <c r="B25" s="24" t="str">
        <f>VLOOKUP("&lt;Zeilentitel_2.10&gt;",Uebersetzungen!$B$3:$E$200,Uebersetzungen!$B$2+1,FALSE)</f>
        <v>Freiburg</v>
      </c>
      <c r="C25" s="91">
        <v>279035.99999999732</v>
      </c>
      <c r="D25" s="81">
        <v>0.30535297827098223</v>
      </c>
      <c r="E25" s="91">
        <v>184307.70957031474</v>
      </c>
      <c r="F25" s="81">
        <v>1.6374990209753537</v>
      </c>
      <c r="G25" s="91">
        <v>175152.61245567194</v>
      </c>
      <c r="H25" s="81">
        <v>1.7366382448381956</v>
      </c>
      <c r="I25" s="91">
        <v>11816.545219338946</v>
      </c>
      <c r="J25" s="81">
        <v>10.444444159476976</v>
      </c>
      <c r="K25" s="91">
        <v>4781.3106436641438</v>
      </c>
      <c r="L25" s="81">
        <v>17.002457457684304</v>
      </c>
      <c r="M25" s="91">
        <v>8245.3768700632136</v>
      </c>
      <c r="N25" s="81">
        <v>12.531663245926572</v>
      </c>
      <c r="O25" s="91">
        <v>145200.09968709451</v>
      </c>
      <c r="P25" s="81">
        <v>2.1453419685525503</v>
      </c>
      <c r="Q25" s="91">
        <v>5109.2800355113468</v>
      </c>
      <c r="R25" s="81">
        <v>16.267388907625428</v>
      </c>
      <c r="S25" s="91">
        <v>9155.0971146427364</v>
      </c>
      <c r="T25" s="81">
        <v>12.761752444893302</v>
      </c>
      <c r="U25" s="91">
        <v>94728.290429682413</v>
      </c>
      <c r="V25" s="81">
        <v>2.9943224938498028</v>
      </c>
    </row>
    <row r="26" spans="1:22" x14ac:dyDescent="0.2">
      <c r="A26" s="59"/>
      <c r="B26" s="24" t="str">
        <f>VLOOKUP("&lt;Zeilentitel_2.11&gt;",Uebersetzungen!$B$3:$E$200,Uebersetzungen!$B$2+1,FALSE)</f>
        <v>Solothurn</v>
      </c>
      <c r="C26" s="91">
        <v>240566.00000000364</v>
      </c>
      <c r="D26" s="81">
        <v>0.37068380482847674</v>
      </c>
      <c r="E26" s="91">
        <v>151841.49083136063</v>
      </c>
      <c r="F26" s="81">
        <v>1.8734901890552342</v>
      </c>
      <c r="G26" s="91">
        <v>145873.02959485812</v>
      </c>
      <c r="H26" s="81">
        <v>1.9555050850599178</v>
      </c>
      <c r="I26" s="91">
        <v>7580.231976929701</v>
      </c>
      <c r="J26" s="81">
        <v>13.116602046991591</v>
      </c>
      <c r="K26" s="91">
        <v>7581.4958122944136</v>
      </c>
      <c r="L26" s="81">
        <v>13.481564994140291</v>
      </c>
      <c r="M26" s="91">
        <v>8199.5553917353864</v>
      </c>
      <c r="N26" s="81">
        <v>12.588234222247653</v>
      </c>
      <c r="O26" s="91">
        <v>118880.30250347432</v>
      </c>
      <c r="P26" s="81">
        <v>2.4199011207408763</v>
      </c>
      <c r="Q26" s="91">
        <v>3631.4439104240837</v>
      </c>
      <c r="R26" s="81">
        <v>20.574100599916452</v>
      </c>
      <c r="S26" s="91">
        <v>5968.4612365025587</v>
      </c>
      <c r="T26" s="81">
        <v>15.950438554187157</v>
      </c>
      <c r="U26" s="91">
        <v>88724.509168643126</v>
      </c>
      <c r="V26" s="81">
        <v>3.0692784512795819</v>
      </c>
    </row>
    <row r="27" spans="1:22" x14ac:dyDescent="0.2">
      <c r="A27" s="59"/>
      <c r="B27" s="24" t="str">
        <f>VLOOKUP("&lt;Zeilentitel_2.12&gt;",Uebersetzungen!$B$3:$E$200,Uebersetzungen!$B$2+1,FALSE)</f>
        <v>Basel-Stadt</v>
      </c>
      <c r="C27" s="91">
        <v>167633.00000000297</v>
      </c>
      <c r="D27" s="81">
        <v>0.45500815859592564</v>
      </c>
      <c r="E27" s="91">
        <v>105057.23108919807</v>
      </c>
      <c r="F27" s="81">
        <v>2.3113402197403183</v>
      </c>
      <c r="G27" s="91">
        <v>98362.731566342118</v>
      </c>
      <c r="H27" s="81">
        <v>2.4864402903075082</v>
      </c>
      <c r="I27" s="91">
        <v>6785.2169520437192</v>
      </c>
      <c r="J27" s="81">
        <v>14.216552127684016</v>
      </c>
      <c r="K27" s="91">
        <v>2921.0749945470966</v>
      </c>
      <c r="L27" s="81">
        <v>22.541419357756595</v>
      </c>
      <c r="M27" s="91">
        <v>4953.9337388973363</v>
      </c>
      <c r="N27" s="81">
        <v>16.465357873350602</v>
      </c>
      <c r="O27" s="91">
        <v>82222.648899122636</v>
      </c>
      <c r="P27" s="81">
        <v>2.9916365097121052</v>
      </c>
      <c r="Q27" s="96">
        <v>1479.8569817314415</v>
      </c>
      <c r="R27" s="84">
        <v>34.348733253786506</v>
      </c>
      <c r="S27" s="91">
        <v>6694.4995228559301</v>
      </c>
      <c r="T27" s="81">
        <v>15.070916229844237</v>
      </c>
      <c r="U27" s="91">
        <v>62575.768910804807</v>
      </c>
      <c r="V27" s="81">
        <v>3.7779129771006104</v>
      </c>
    </row>
    <row r="28" spans="1:22" x14ac:dyDescent="0.2">
      <c r="A28" s="59"/>
      <c r="B28" s="24" t="str">
        <f>VLOOKUP("&lt;Zeilentitel_2.13&gt;",Uebersetzungen!$B$3:$E$200,Uebersetzungen!$B$2+1,FALSE)</f>
        <v>Basel-Landschaft</v>
      </c>
      <c r="C28" s="91">
        <v>250951.00000000099</v>
      </c>
      <c r="D28" s="81">
        <v>0.34188826947042378</v>
      </c>
      <c r="E28" s="91">
        <v>152557.05435367156</v>
      </c>
      <c r="F28" s="81">
        <v>1.9367187101671366</v>
      </c>
      <c r="G28" s="91">
        <v>146942.17707677672</v>
      </c>
      <c r="H28" s="81">
        <v>2.0130194231368743</v>
      </c>
      <c r="I28" s="91">
        <v>9065.6900129867499</v>
      </c>
      <c r="J28" s="81">
        <v>11.962561116283055</v>
      </c>
      <c r="K28" s="91">
        <v>5576.0387897559694</v>
      </c>
      <c r="L28" s="81">
        <v>16.011628772616024</v>
      </c>
      <c r="M28" s="91">
        <v>8361.0297131576626</v>
      </c>
      <c r="N28" s="81">
        <v>12.482899093282319</v>
      </c>
      <c r="O28" s="91">
        <v>120259.86891521406</v>
      </c>
      <c r="P28" s="81">
        <v>2.4665772720205914</v>
      </c>
      <c r="Q28" s="91">
        <v>3679.5496456622332</v>
      </c>
      <c r="R28" s="81">
        <v>20.369854222535022</v>
      </c>
      <c r="S28" s="91">
        <v>5614.877276894822</v>
      </c>
      <c r="T28" s="81">
        <v>16.462692012920279</v>
      </c>
      <c r="U28" s="91">
        <v>98393.945646329463</v>
      </c>
      <c r="V28" s="81">
        <v>2.8591988450647161</v>
      </c>
    </row>
    <row r="29" spans="1:22" x14ac:dyDescent="0.2">
      <c r="A29" s="59"/>
      <c r="B29" s="24" t="str">
        <f>VLOOKUP("&lt;Zeilentitel_2.14&gt;",Uebersetzungen!$B$3:$E$200,Uebersetzungen!$B$2+1,FALSE)</f>
        <v>Schaffhausen</v>
      </c>
      <c r="C29" s="91">
        <v>73073.000000000728</v>
      </c>
      <c r="D29" s="81">
        <v>0.78132191728739153</v>
      </c>
      <c r="E29" s="91">
        <v>45770.037550520632</v>
      </c>
      <c r="F29" s="81">
        <v>3.6937117612728763</v>
      </c>
      <c r="G29" s="91">
        <v>44148.869662929683</v>
      </c>
      <c r="H29" s="81">
        <v>3.8321281046321234</v>
      </c>
      <c r="I29" s="91">
        <v>2981.6358877240855</v>
      </c>
      <c r="J29" s="81">
        <v>21.681250775897809</v>
      </c>
      <c r="K29" s="91">
        <v>2192.7988395208504</v>
      </c>
      <c r="L29" s="81">
        <v>25.727755292856546</v>
      </c>
      <c r="M29" s="91">
        <v>2683.0217892382652</v>
      </c>
      <c r="N29" s="81">
        <v>22.773514414269783</v>
      </c>
      <c r="O29" s="91">
        <v>35474.719171082375</v>
      </c>
      <c r="P29" s="81">
        <v>4.7879272978530611</v>
      </c>
      <c r="Q29" s="97">
        <v>816.69397536413317</v>
      </c>
      <c r="R29" s="84">
        <v>43.399821569575053</v>
      </c>
      <c r="S29" s="96">
        <v>1621.1678875909577</v>
      </c>
      <c r="T29" s="84">
        <v>31.74913615469546</v>
      </c>
      <c r="U29" s="91">
        <v>27302.962449480066</v>
      </c>
      <c r="V29" s="81">
        <v>5.3902122211222023</v>
      </c>
    </row>
    <row r="30" spans="1:22" x14ac:dyDescent="0.2">
      <c r="A30" s="59"/>
      <c r="B30" s="24" t="str">
        <f>VLOOKUP("&lt;Zeilentitel_2.15&gt;",Uebersetzungen!$B$3:$E$200,Uebersetzungen!$B$2+1,FALSE)</f>
        <v>Appenzell Ausserrhoden</v>
      </c>
      <c r="C30" s="91">
        <v>46579.00000000024</v>
      </c>
      <c r="D30" s="81">
        <v>0.84673135077895567</v>
      </c>
      <c r="E30" s="91">
        <v>29642.338808117158</v>
      </c>
      <c r="F30" s="81">
        <v>4.3008864600727694</v>
      </c>
      <c r="G30" s="91">
        <v>28863.216791785613</v>
      </c>
      <c r="H30" s="81">
        <v>4.419188899003978</v>
      </c>
      <c r="I30" s="91">
        <v>1837.5852586929554</v>
      </c>
      <c r="J30" s="81">
        <v>26.742044395993062</v>
      </c>
      <c r="K30" s="96">
        <v>1350.101459413723</v>
      </c>
      <c r="L30" s="84">
        <v>32.229806334389664</v>
      </c>
      <c r="M30" s="91">
        <v>2071.9842422214379</v>
      </c>
      <c r="N30" s="81">
        <v>25.092116414709885</v>
      </c>
      <c r="O30" s="91">
        <v>22652.539005057901</v>
      </c>
      <c r="P30" s="81">
        <v>5.7253558618102245</v>
      </c>
      <c r="Q30" s="97">
        <v>951.00682639959587</v>
      </c>
      <c r="R30" s="84">
        <v>39.850395026659946</v>
      </c>
      <c r="S30" s="97">
        <v>779.12201633154336</v>
      </c>
      <c r="T30" s="84">
        <v>46.120017226908274</v>
      </c>
      <c r="U30" s="91">
        <v>16936.661191883075</v>
      </c>
      <c r="V30" s="81">
        <v>7.1074456169989251</v>
      </c>
    </row>
    <row r="31" spans="1:22" x14ac:dyDescent="0.2">
      <c r="A31" s="59"/>
      <c r="B31" s="24" t="str">
        <f>VLOOKUP("&lt;Zeilentitel_2.16&gt;",Uebersetzungen!$B$3:$E$200,Uebersetzungen!$B$2+1,FALSE)</f>
        <v>Appenzell Innerrhoden</v>
      </c>
      <c r="C31" s="91">
        <v>13537.000000000045</v>
      </c>
      <c r="D31" s="81">
        <v>1.5664021983065564</v>
      </c>
      <c r="E31" s="91">
        <v>9558.0748034390526</v>
      </c>
      <c r="F31" s="81">
        <v>7.212304546582633</v>
      </c>
      <c r="G31" s="91">
        <v>9487.0326090272647</v>
      </c>
      <c r="H31" s="81">
        <v>7.303140276107448</v>
      </c>
      <c r="I31" s="97">
        <v>651.17085359727071</v>
      </c>
      <c r="J31" s="84">
        <v>46.358242817122736</v>
      </c>
      <c r="K31" s="97">
        <v>696.5396781906943</v>
      </c>
      <c r="L31" s="84">
        <v>46.561053324057596</v>
      </c>
      <c r="M31" s="96">
        <v>1155.1830624738366</v>
      </c>
      <c r="N31" s="84">
        <v>34.133140931092477</v>
      </c>
      <c r="O31" s="91">
        <v>6640.2764477884721</v>
      </c>
      <c r="P31" s="81">
        <v>10.999535542019986</v>
      </c>
      <c r="Q31" s="97">
        <v>343.86256697699082</v>
      </c>
      <c r="R31" s="84">
        <v>68.17826576635531</v>
      </c>
      <c r="S31" s="99" t="s">
        <v>333</v>
      </c>
      <c r="T31" s="81" t="s">
        <v>333</v>
      </c>
      <c r="U31" s="91">
        <v>3978.9251965609915</v>
      </c>
      <c r="V31" s="81">
        <v>15.359593256607111</v>
      </c>
    </row>
    <row r="32" spans="1:22" x14ac:dyDescent="0.2">
      <c r="A32" s="59"/>
      <c r="B32" s="24" t="str">
        <f>VLOOKUP("&lt;Zeilentitel_2.17&gt;",Uebersetzungen!$B$3:$E$200,Uebersetzungen!$B$2+1,FALSE)</f>
        <v>St. Gallen</v>
      </c>
      <c r="C32" s="91">
        <v>444144.00000000751</v>
      </c>
      <c r="D32" s="81">
        <v>0.23622220314671788</v>
      </c>
      <c r="E32" s="91">
        <v>290587.51663738303</v>
      </c>
      <c r="F32" s="81">
        <v>1.3168354320854652</v>
      </c>
      <c r="G32" s="91">
        <v>280532.11238365446</v>
      </c>
      <c r="H32" s="81">
        <v>1.3718899950262777</v>
      </c>
      <c r="I32" s="91">
        <v>15350.481684047598</v>
      </c>
      <c r="J32" s="81">
        <v>9.274372221914275</v>
      </c>
      <c r="K32" s="91">
        <v>14012.637220155324</v>
      </c>
      <c r="L32" s="81">
        <v>9.9343384998446798</v>
      </c>
      <c r="M32" s="91">
        <v>16310.567865383991</v>
      </c>
      <c r="N32" s="81">
        <v>8.9523327505524808</v>
      </c>
      <c r="O32" s="91">
        <v>225828.1824626064</v>
      </c>
      <c r="P32" s="81">
        <v>1.7503698533315253</v>
      </c>
      <c r="Q32" s="91">
        <v>9030.2431514609725</v>
      </c>
      <c r="R32" s="81">
        <v>12.682325269177943</v>
      </c>
      <c r="S32" s="91">
        <v>10055.404253728539</v>
      </c>
      <c r="T32" s="81">
        <v>12.396850881463095</v>
      </c>
      <c r="U32" s="91">
        <v>153556.48336262457</v>
      </c>
      <c r="V32" s="81">
        <v>2.4115873941062964</v>
      </c>
    </row>
    <row r="33" spans="1:22" x14ac:dyDescent="0.2">
      <c r="A33" s="59"/>
      <c r="B33" s="25" t="str">
        <f>VLOOKUP("&lt;Zeilentitel_2.18&gt;",Uebersetzungen!$B$3:$E$200,Uebersetzungen!$B$2+1,FALSE)</f>
        <v>Graubünden</v>
      </c>
      <c r="C33" s="92">
        <v>174610.99999999709</v>
      </c>
      <c r="D33" s="82">
        <v>0.3394476774220202</v>
      </c>
      <c r="E33" s="92">
        <v>109254.31425392134</v>
      </c>
      <c r="F33" s="82">
        <v>2.1832896226983713</v>
      </c>
      <c r="G33" s="92">
        <v>106960.13753694597</v>
      </c>
      <c r="H33" s="82">
        <v>2.2331374480020427</v>
      </c>
      <c r="I33" s="92">
        <v>8365.0770799234506</v>
      </c>
      <c r="J33" s="82">
        <v>12.240163901498072</v>
      </c>
      <c r="K33" s="92">
        <v>5769.5400422748353</v>
      </c>
      <c r="L33" s="82">
        <v>15.192879309819801</v>
      </c>
      <c r="M33" s="92">
        <v>7865.1239862673074</v>
      </c>
      <c r="N33" s="82">
        <v>12.653963016644919</v>
      </c>
      <c r="O33" s="92">
        <v>82224.202191947406</v>
      </c>
      <c r="P33" s="82">
        <v>2.9511918515275606</v>
      </c>
      <c r="Q33" s="92">
        <v>2736.1942365328941</v>
      </c>
      <c r="R33" s="82">
        <v>22.595748930549558</v>
      </c>
      <c r="S33" s="92">
        <v>2294.1767169753757</v>
      </c>
      <c r="T33" s="82">
        <v>25.854640307180468</v>
      </c>
      <c r="U33" s="92">
        <v>65356.685746075847</v>
      </c>
      <c r="V33" s="82">
        <v>3.5383544715876685</v>
      </c>
    </row>
    <row r="34" spans="1:22" x14ac:dyDescent="0.2">
      <c r="A34" s="59"/>
      <c r="B34" s="24" t="str">
        <f>VLOOKUP("&lt;Zeilentitel_2.19&gt;",Uebersetzungen!$B$3:$E$200,Uebersetzungen!$B$2+1,FALSE)</f>
        <v>Aargau</v>
      </c>
      <c r="C34" s="91">
        <v>604896.99999998976</v>
      </c>
      <c r="D34" s="81">
        <v>0.14982201152278973</v>
      </c>
      <c r="E34" s="91">
        <v>397617.91654129763</v>
      </c>
      <c r="F34" s="81">
        <v>0.78362970982332414</v>
      </c>
      <c r="G34" s="91">
        <v>382016.48550224607</v>
      </c>
      <c r="H34" s="81">
        <v>0.8214765515219179</v>
      </c>
      <c r="I34" s="91">
        <v>20492.026386009748</v>
      </c>
      <c r="J34" s="81">
        <v>5.5581014111799458</v>
      </c>
      <c r="K34" s="91">
        <v>16943.181159605381</v>
      </c>
      <c r="L34" s="81">
        <v>6.3319826567614959</v>
      </c>
      <c r="M34" s="91">
        <v>20272.386038461864</v>
      </c>
      <c r="N34" s="81">
        <v>5.5991614785520794</v>
      </c>
      <c r="O34" s="91">
        <v>314624.61517166585</v>
      </c>
      <c r="P34" s="81">
        <v>1.0225529961591704</v>
      </c>
      <c r="Q34" s="91">
        <v>9684.276746504016</v>
      </c>
      <c r="R34" s="81">
        <v>8.5554668801628413</v>
      </c>
      <c r="S34" s="91">
        <v>15601.431039051331</v>
      </c>
      <c r="T34" s="81">
        <v>6.8558340257642323</v>
      </c>
      <c r="U34" s="91">
        <v>207279.08345869152</v>
      </c>
      <c r="V34" s="81">
        <v>1.4363535547333317</v>
      </c>
    </row>
    <row r="35" spans="1:22" ht="12.75" customHeight="1" x14ac:dyDescent="0.2">
      <c r="A35" s="59"/>
      <c r="B35" s="24" t="str">
        <f>VLOOKUP("&lt;Zeilentitel_2.20&gt;",Uebersetzungen!$B$3:$E$200,Uebersetzungen!$B$2+1,FALSE)</f>
        <v>Thurgau</v>
      </c>
      <c r="C35" s="91">
        <v>245573.9999999982</v>
      </c>
      <c r="D35" s="81">
        <v>0.35006434836599476</v>
      </c>
      <c r="E35" s="91">
        <v>162780.01858846395</v>
      </c>
      <c r="F35" s="81">
        <v>1.773230961613965</v>
      </c>
      <c r="G35" s="91">
        <v>156686.68844632641</v>
      </c>
      <c r="H35" s="81">
        <v>1.854340340579314</v>
      </c>
      <c r="I35" s="91">
        <v>9995.5221703500956</v>
      </c>
      <c r="J35" s="81">
        <v>11.444358163607244</v>
      </c>
      <c r="K35" s="91">
        <v>8953.9659739235285</v>
      </c>
      <c r="L35" s="81">
        <v>12.609310314423004</v>
      </c>
      <c r="M35" s="91">
        <v>10482.958668833951</v>
      </c>
      <c r="N35" s="81">
        <v>11.274944991911887</v>
      </c>
      <c r="O35" s="91">
        <v>123240.69338111859</v>
      </c>
      <c r="P35" s="81">
        <v>2.421222300995395</v>
      </c>
      <c r="Q35" s="91">
        <v>4013.5482521000877</v>
      </c>
      <c r="R35" s="81">
        <v>18.789165578634641</v>
      </c>
      <c r="S35" s="91">
        <v>6093.3301421375636</v>
      </c>
      <c r="T35" s="81">
        <v>15.964155012067922</v>
      </c>
      <c r="U35" s="91">
        <v>82793.981411534391</v>
      </c>
      <c r="V35" s="81">
        <v>3.2680587400410204</v>
      </c>
    </row>
    <row r="36" spans="1:22" x14ac:dyDescent="0.2">
      <c r="A36" s="59"/>
      <c r="B36" s="24" t="str">
        <f>VLOOKUP("&lt;Zeilentitel_2.21&gt;",Uebersetzungen!$B$3:$E$200,Uebersetzungen!$B$2+1,FALSE)</f>
        <v>Ticino</v>
      </c>
      <c r="C36" s="91">
        <v>306302.00000000163</v>
      </c>
      <c r="D36" s="81">
        <v>0.20329241596100628</v>
      </c>
      <c r="E36" s="91">
        <v>167908.51065938489</v>
      </c>
      <c r="F36" s="81">
        <v>1.3697020043973187</v>
      </c>
      <c r="G36" s="91">
        <v>155931.73533125894</v>
      </c>
      <c r="H36" s="81">
        <v>1.4625757513169559</v>
      </c>
      <c r="I36" s="91">
        <v>15315.625033838904</v>
      </c>
      <c r="J36" s="81">
        <v>6.4544328128066955</v>
      </c>
      <c r="K36" s="91">
        <v>1895.9720166092513</v>
      </c>
      <c r="L36" s="81">
        <v>18.943801276928049</v>
      </c>
      <c r="M36" s="91">
        <v>11056.165306623378</v>
      </c>
      <c r="N36" s="81">
        <v>7.519327304635322</v>
      </c>
      <c r="O36" s="91">
        <v>124896.35002468724</v>
      </c>
      <c r="P36" s="81">
        <v>1.7866177456791248</v>
      </c>
      <c r="Q36" s="91">
        <v>2767.6229495002672</v>
      </c>
      <c r="R36" s="81">
        <v>16.55858620523718</v>
      </c>
      <c r="S36" s="91">
        <v>11976.775328125686</v>
      </c>
      <c r="T36" s="81">
        <v>7.8633257931190759</v>
      </c>
      <c r="U36" s="91">
        <v>138393.48934061688</v>
      </c>
      <c r="V36" s="81">
        <v>1.6219457021418227</v>
      </c>
    </row>
    <row r="37" spans="1:22" x14ac:dyDescent="0.2">
      <c r="A37" s="59"/>
      <c r="B37" s="24" t="str">
        <f>VLOOKUP("&lt;Zeilentitel_2.22&gt;",Uebersetzungen!$B$3:$E$200,Uebersetzungen!$B$2+1,FALSE)</f>
        <v>Vaud</v>
      </c>
      <c r="C37" s="91">
        <v>690662.99999998987</v>
      </c>
      <c r="D37" s="81">
        <v>0.13789005411483282</v>
      </c>
      <c r="E37" s="91">
        <v>432781.34796817112</v>
      </c>
      <c r="F37" s="81">
        <v>0.77078601161763249</v>
      </c>
      <c r="G37" s="91">
        <v>401970.9385136941</v>
      </c>
      <c r="H37" s="81">
        <v>0.83629241641823671</v>
      </c>
      <c r="I37" s="91">
        <v>31320.204119867391</v>
      </c>
      <c r="J37" s="81">
        <v>4.4597182923156211</v>
      </c>
      <c r="K37" s="91">
        <v>7052.004199261326</v>
      </c>
      <c r="L37" s="81">
        <v>9.7204298425165447</v>
      </c>
      <c r="M37" s="91">
        <v>20894.659599126509</v>
      </c>
      <c r="N37" s="81">
        <v>5.4834765726668788</v>
      </c>
      <c r="O37" s="91">
        <v>334699.0454545244</v>
      </c>
      <c r="P37" s="81">
        <v>1.0121805210799681</v>
      </c>
      <c r="Q37" s="91">
        <v>8005.0251409144994</v>
      </c>
      <c r="R37" s="81">
        <v>9.5320215781884876</v>
      </c>
      <c r="S37" s="91">
        <v>30810.409454477216</v>
      </c>
      <c r="T37" s="81">
        <v>4.7731267321545499</v>
      </c>
      <c r="U37" s="91">
        <v>257881.65203181852</v>
      </c>
      <c r="V37" s="81">
        <v>1.2696731250311082</v>
      </c>
    </row>
    <row r="38" spans="1:22" x14ac:dyDescent="0.2">
      <c r="A38" s="59"/>
      <c r="B38" s="24" t="str">
        <f>VLOOKUP("&lt;Zeilentitel_2.23&gt;",Uebersetzungen!$B$3:$E$200,Uebersetzungen!$B$2+1,FALSE)</f>
        <v>Wallis</v>
      </c>
      <c r="C38" s="91">
        <v>306633.99999999732</v>
      </c>
      <c r="D38" s="81">
        <v>0.29928814409264604</v>
      </c>
      <c r="E38" s="91">
        <v>188293.19822636177</v>
      </c>
      <c r="F38" s="81">
        <v>1.7410876156589223</v>
      </c>
      <c r="G38" s="91">
        <v>180809.85191480408</v>
      </c>
      <c r="H38" s="81">
        <v>1.8164292974993193</v>
      </c>
      <c r="I38" s="91">
        <v>13384.770741636046</v>
      </c>
      <c r="J38" s="81">
        <v>9.8963338304358555</v>
      </c>
      <c r="K38" s="91">
        <v>4944.7597231911659</v>
      </c>
      <c r="L38" s="81">
        <v>16.73245953802892</v>
      </c>
      <c r="M38" s="91">
        <v>10504.56537635413</v>
      </c>
      <c r="N38" s="81">
        <v>11.053146461691696</v>
      </c>
      <c r="O38" s="91">
        <v>147322.98505602058</v>
      </c>
      <c r="P38" s="81">
        <v>2.2434388890293593</v>
      </c>
      <c r="Q38" s="91">
        <v>4652.7710176021938</v>
      </c>
      <c r="R38" s="81">
        <v>18.051513678629803</v>
      </c>
      <c r="S38" s="91">
        <v>7483.3463115575687</v>
      </c>
      <c r="T38" s="81">
        <v>14.250293346145327</v>
      </c>
      <c r="U38" s="91">
        <v>118340.80177363561</v>
      </c>
      <c r="V38" s="81">
        <v>2.5995602165026011</v>
      </c>
    </row>
    <row r="39" spans="1:22" x14ac:dyDescent="0.2">
      <c r="A39" s="59"/>
      <c r="B39" s="24" t="str">
        <f>VLOOKUP("&lt;Zeilentitel_2.24&gt;",Uebersetzungen!$B$3:$E$200,Uebersetzungen!$B$2+1,FALSE)</f>
        <v>Neuchâtel</v>
      </c>
      <c r="C39" s="91">
        <v>148771.99999999849</v>
      </c>
      <c r="D39" s="81">
        <v>0.27454805374016439</v>
      </c>
      <c r="E39" s="91">
        <v>90636.103578983864</v>
      </c>
      <c r="F39" s="81">
        <v>1.7316151116711831</v>
      </c>
      <c r="G39" s="91">
        <v>84817.082872540981</v>
      </c>
      <c r="H39" s="81">
        <v>1.8567061928261746</v>
      </c>
      <c r="I39" s="91">
        <v>6714.2573190540952</v>
      </c>
      <c r="J39" s="81">
        <v>9.6306732665382775</v>
      </c>
      <c r="K39" s="91">
        <v>1558.3036029771501</v>
      </c>
      <c r="L39" s="81">
        <v>20.557099855146156</v>
      </c>
      <c r="M39" s="91">
        <v>3917.9112400307113</v>
      </c>
      <c r="N39" s="81">
        <v>12.654911382305047</v>
      </c>
      <c r="O39" s="91">
        <v>70630.385021200258</v>
      </c>
      <c r="P39" s="81">
        <v>2.2398255136949063</v>
      </c>
      <c r="Q39" s="91">
        <v>1996.2256892787113</v>
      </c>
      <c r="R39" s="81">
        <v>18.760245986744366</v>
      </c>
      <c r="S39" s="91">
        <v>5819.0207064428396</v>
      </c>
      <c r="T39" s="81">
        <v>11.034523648812932</v>
      </c>
      <c r="U39" s="91">
        <v>58135.896421014695</v>
      </c>
      <c r="V39" s="81">
        <v>2.5998087039048143</v>
      </c>
    </row>
    <row r="40" spans="1:22" x14ac:dyDescent="0.2">
      <c r="A40" s="59"/>
      <c r="B40" s="24" t="str">
        <f>VLOOKUP("&lt;Zeilentitel_2.25&gt;",Uebersetzungen!$B$3:$E$200,Uebersetzungen!$B$2+1,FALSE)</f>
        <v>Genève</v>
      </c>
      <c r="C40" s="91">
        <v>400257.99999999814</v>
      </c>
      <c r="D40" s="81">
        <v>0.23720624115934758</v>
      </c>
      <c r="E40" s="91">
        <v>241476.83816139572</v>
      </c>
      <c r="F40" s="81">
        <v>1.1318722991223633</v>
      </c>
      <c r="G40" s="91">
        <v>215833.79983963896</v>
      </c>
      <c r="H40" s="81">
        <v>1.2614923617651186</v>
      </c>
      <c r="I40" s="91">
        <v>16045.630044095193</v>
      </c>
      <c r="J40" s="81">
        <v>6.5664002080361739</v>
      </c>
      <c r="K40" s="91">
        <v>2345.4287815561074</v>
      </c>
      <c r="L40" s="81">
        <v>17.431745793798637</v>
      </c>
      <c r="M40" s="91">
        <v>11725.881715118212</v>
      </c>
      <c r="N40" s="81">
        <v>7.7002377739541314</v>
      </c>
      <c r="O40" s="91">
        <v>182646.48675108177</v>
      </c>
      <c r="P40" s="81">
        <v>1.4819342781675904</v>
      </c>
      <c r="Q40" s="91">
        <v>3070.372547787782</v>
      </c>
      <c r="R40" s="81">
        <v>16.37684938005896</v>
      </c>
      <c r="S40" s="91">
        <v>25643.038321756871</v>
      </c>
      <c r="T40" s="81">
        <v>5.5403442033660983</v>
      </c>
      <c r="U40" s="91">
        <v>158781.16183860227</v>
      </c>
      <c r="V40" s="81">
        <v>1.6606010524267458</v>
      </c>
    </row>
    <row r="41" spans="1:22" ht="13.5" thickBot="1" x14ac:dyDescent="0.25">
      <c r="A41" s="60"/>
      <c r="B41" s="33" t="str">
        <f>VLOOKUP("&lt;Zeilentitel_2.26&gt;",Uebersetzungen!$B$3:$E$200,Uebersetzungen!$B$2+1,FALSE)</f>
        <v>Jura</v>
      </c>
      <c r="C41" s="93">
        <v>62061.999999999578</v>
      </c>
      <c r="D41" s="83">
        <v>0.55587129579092276</v>
      </c>
      <c r="E41" s="93">
        <v>35510.170141706942</v>
      </c>
      <c r="F41" s="83">
        <v>4.0076189394387045</v>
      </c>
      <c r="G41" s="93">
        <v>33475.416562823957</v>
      </c>
      <c r="H41" s="83">
        <v>4.2525326964361128</v>
      </c>
      <c r="I41" s="93">
        <v>2803.7200269094019</v>
      </c>
      <c r="J41" s="83">
        <v>20.938766188588318</v>
      </c>
      <c r="K41" s="98">
        <v>1008.3629969369536</v>
      </c>
      <c r="L41" s="85">
        <v>35.692834760604825</v>
      </c>
      <c r="M41" s="93">
        <v>1683.0767327805411</v>
      </c>
      <c r="N41" s="83">
        <v>27.086216078408707</v>
      </c>
      <c r="O41" s="93">
        <v>26619.629662254953</v>
      </c>
      <c r="P41" s="83">
        <v>5.2732693540961915</v>
      </c>
      <c r="Q41" s="98">
        <v>1360.6271439421162</v>
      </c>
      <c r="R41" s="85">
        <v>32.10511746977415</v>
      </c>
      <c r="S41" s="93">
        <v>2034.7535788829839</v>
      </c>
      <c r="T41" s="83">
        <v>25.912824491488603</v>
      </c>
      <c r="U41" s="93">
        <v>26551.829858292622</v>
      </c>
      <c r="V41" s="83">
        <v>5.2718671644775146</v>
      </c>
    </row>
    <row r="42" spans="1:22" x14ac:dyDescent="0.2">
      <c r="A42" s="16"/>
      <c r="B42" s="10"/>
      <c r="C42" s="9"/>
      <c r="D42" s="11"/>
      <c r="E42" s="12"/>
      <c r="F42" s="13"/>
      <c r="G42" s="14"/>
      <c r="H42" s="13"/>
      <c r="I42" s="14"/>
      <c r="J42" s="13"/>
      <c r="K42" s="14"/>
      <c r="L42" s="14"/>
      <c r="M42" s="13"/>
      <c r="N42" s="14"/>
    </row>
    <row r="43" spans="1:22" x14ac:dyDescent="0.2">
      <c r="A43" s="15" t="str">
        <f>VLOOKUP("&lt;Legende_1&gt;",Uebersetzungen!$B$3:$E$200,Uebersetzungen!$B$2+1,FALSE)</f>
        <v>(): Extrapolation aufgrund von 49 oder weniger Beobachtungen. Die Resultate sind mit grosser Vorsicht zu interpretieren.</v>
      </c>
    </row>
    <row r="44" spans="1:22" x14ac:dyDescent="0.2">
      <c r="A44" s="15" t="str">
        <f>VLOOKUP("&lt;Legende_2&gt;",Uebersetzungen!$B$3:$E$200,Uebersetzungen!$B$2+1,FALSE)</f>
        <v>X: Extrapolation aufgrund von 4 oder weniger Beobachtungen. Die Resultate werden aus Gründen des Datenschutzes nicht publiziert.</v>
      </c>
    </row>
    <row r="45" spans="1:22" x14ac:dyDescent="0.2">
      <c r="A45" s="15" t="str">
        <f>VLOOKUP("&lt;Legende_3&gt;",Uebersetzungen!$B$3:$E$200,Uebersetzungen!$B$2+1,FALSE)</f>
        <v>Die Grundgesamtheit der Strukturerhebung enthält alle Personen der ständigen Wohnbevölkerung ab vollendetem 15. Altersjahr, die in Privathaushalten leben.</v>
      </c>
    </row>
    <row r="46" spans="1:22" x14ac:dyDescent="0.2">
      <c r="A46" s="15" t="str">
        <f>VLOOKUP("&lt;Legende_4&gt;",Uebersetzungen!$B$3:$E$200,Uebersetzungen!$B$2+1,FALSE)</f>
        <v>Aus der Grundgesamtheit ausgeschlossen wurden neben den Personen, die in Kollektivhaushalten leben, auch Diplomaten, internationale Funktionäre und deren Angehörige.</v>
      </c>
    </row>
    <row r="48" spans="1:22" x14ac:dyDescent="0.2">
      <c r="A48" s="1" t="str">
        <f>VLOOKUP("&lt;quelle_1&gt;",Uebersetzungen!$B$3:$E$200,Uebersetzungen!$B$2+1,FALSE)</f>
        <v>Quelle: BFS (Strukturerhebung)</v>
      </c>
    </row>
    <row r="49" spans="1:1" x14ac:dyDescent="0.2">
      <c r="A49" s="1" t="str">
        <f>VLOOKUP("&lt;aktualisierung&gt;",Uebersetzungen!$B$3:$E$200,Uebersetzungen!$B$2+1,FALSE)</f>
        <v>Letztmals aktualisiert am: 27.01.2024</v>
      </c>
    </row>
  </sheetData>
  <sheetProtection sheet="1" objects="1" scenarios="1"/>
  <mergeCells count="13">
    <mergeCell ref="A16:A41"/>
    <mergeCell ref="U13:V13"/>
    <mergeCell ref="Q13:R13"/>
    <mergeCell ref="S13:T13"/>
    <mergeCell ref="A7:B7"/>
    <mergeCell ref="K13:L13"/>
    <mergeCell ref="M13:N13"/>
    <mergeCell ref="O13:P13"/>
    <mergeCell ref="C13:D13"/>
    <mergeCell ref="E13:F13"/>
    <mergeCell ref="G13:H13"/>
    <mergeCell ref="I13:J13"/>
    <mergeCell ref="C12:V12"/>
  </mergeCells>
  <pageMargins left="0.7" right="0.7" top="0.78740157499999996" bottom="0.78740157499999996" header="0.3" footer="0.3"/>
  <pageSetup paperSize="9" orientation="portrait" r:id="rId1"/>
  <ignoredErrors>
    <ignoredError sqref="E14:G14 H14:I14 J14:K14 L14:N14 O14:Q14 T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447675</xdr:colOff>
                    <xdr:row>1</xdr:row>
                    <xdr:rowOff>114300</xdr:rowOff>
                  </from>
                  <to>
                    <xdr:col>4</xdr:col>
                    <xdr:colOff>790575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447675</xdr:colOff>
                    <xdr:row>2</xdr:row>
                    <xdr:rowOff>104775</xdr:rowOff>
                  </from>
                  <to>
                    <xdr:col>5</xdr:col>
                    <xdr:colOff>352425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76200</xdr:rowOff>
                  </from>
                  <to>
                    <xdr:col>4</xdr:col>
                    <xdr:colOff>790575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6"/>
  <sheetViews>
    <sheetView showGridLines="0" workbookViewId="0"/>
  </sheetViews>
  <sheetFormatPr baseColWidth="10" defaultColWidth="11.42578125" defaultRowHeight="12.75" x14ac:dyDescent="0.2"/>
  <cols>
    <col min="1" max="1" width="26.85546875" style="28" customWidth="1"/>
    <col min="2" max="2" width="49.140625" style="28" customWidth="1"/>
    <col min="3" max="22" width="12" style="28" customWidth="1"/>
    <col min="23" max="16384" width="11.42578125" style="28"/>
  </cols>
  <sheetData>
    <row r="1" spans="1:22" s="2" customFormat="1" x14ac:dyDescent="0.2"/>
    <row r="2" spans="1:22" s="2" customFormat="1" ht="15.75" x14ac:dyDescent="0.25">
      <c r="B2" s="3"/>
      <c r="C2" s="1"/>
      <c r="D2" s="1"/>
    </row>
    <row r="3" spans="1:22" s="2" customFormat="1" ht="15.75" x14ac:dyDescent="0.25">
      <c r="B3" s="3"/>
      <c r="C3" s="1"/>
      <c r="D3" s="1"/>
    </row>
    <row r="4" spans="1:22" s="2" customFormat="1" ht="15.75" x14ac:dyDescent="0.25">
      <c r="B4" s="3"/>
      <c r="C4" s="1"/>
      <c r="D4" s="1"/>
    </row>
    <row r="5" spans="1:22" s="2" customFormat="1" x14ac:dyDescent="0.2"/>
    <row r="6" spans="1:22" s="2" customFormat="1" x14ac:dyDescent="0.2"/>
    <row r="7" spans="1:22" s="2" customFormat="1" ht="15.75" customHeight="1" x14ac:dyDescent="0.2">
      <c r="A7" s="63" t="str">
        <f>VLOOKUP("&lt;Fachbereich&gt;",Uebersetzungen!$B$3:$E$201,Uebersetzungen!$B$2+1,FALSE)</f>
        <v>Daten &amp; Statistik</v>
      </c>
      <c r="B7" s="63"/>
      <c r="C7" s="4"/>
      <c r="D7" s="4"/>
      <c r="E7" s="4"/>
      <c r="F7" s="4"/>
      <c r="G7" s="4"/>
      <c r="H7" s="4"/>
    </row>
    <row r="8" spans="1:22" s="2" customFormat="1" x14ac:dyDescent="0.2"/>
    <row r="9" spans="1:22" s="8" customFormat="1" ht="18" x14ac:dyDescent="0.2">
      <c r="A9" s="19" t="str">
        <f>VLOOKUP("&lt;T2Titel&gt;",Uebersetzungen!$B$3:$E$201,Uebersetzungen!$B$2+1,FALSE)</f>
        <v>Erwerbsstatus im Kanton Graubünden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2" s="8" customFormat="1" ht="15" x14ac:dyDescent="0.2">
      <c r="A10" s="20" t="str">
        <f>VLOOKUP("&lt;UTitel&gt;",Uebersetzungen!$B$3:$E$201,Uebersetzungen!$B$2+1,FALSE)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2" s="8" customFormat="1" ht="15.75" thickBot="1" x14ac:dyDescent="0.25">
      <c r="A11" s="20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2" s="8" customFormat="1" ht="18.75" thickBot="1" x14ac:dyDescent="0.3">
      <c r="A12" s="36"/>
      <c r="B12" s="58"/>
      <c r="C12" s="72">
        <v>2023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4"/>
    </row>
    <row r="13" spans="1:22" ht="39.75" customHeight="1" thickBot="1" x14ac:dyDescent="0.25">
      <c r="A13" s="37"/>
      <c r="B13" s="57"/>
      <c r="C13" s="64" t="str">
        <f>VLOOKUP("&lt;SpaltenTitel_1&gt;",Uebersetzungen!$B$3:$E$201,Uebersetzungen!$B$2+1,FALSE)</f>
        <v>Total</v>
      </c>
      <c r="D13" s="61"/>
      <c r="E13" s="61" t="str">
        <f>VLOOKUP("&lt;SpaltenTitel_2&gt;",Uebersetzungen!$B$3:$E$201,Uebersetzungen!$B$2+1,FALSE)</f>
        <v>Erwerbspersonen</v>
      </c>
      <c r="F13" s="61"/>
      <c r="G13" s="61" t="str">
        <f>VLOOKUP("&lt;SpaltenTitel_3&gt;",Uebersetzungen!$B$3:$E$201,Uebersetzungen!$B$2+1,FALSE)</f>
        <v>Erwerbstätige</v>
      </c>
      <c r="H13" s="61"/>
      <c r="I13" s="61" t="str">
        <f>VLOOKUP("&lt;SpaltenTitel_4&gt;",Uebersetzungen!$B$3:$E$201,Uebersetzungen!$B$2+1,FALSE)</f>
        <v>Selbständige</v>
      </c>
      <c r="J13" s="61"/>
      <c r="K13" s="61" t="str">
        <f>VLOOKUP("&lt;SpaltenTitel_5&gt;",Uebersetzungen!$B$3:$E$201,Uebersetzungen!$B$2+1,FALSE)</f>
        <v>Mitarbeitende Familienmitglieder</v>
      </c>
      <c r="L13" s="61"/>
      <c r="M13" s="61" t="str">
        <f>VLOOKUP("&lt;SpaltenTitel_6&gt;",Uebersetzungen!$B$3:$E$201,Uebersetzungen!$B$2+1,FALSE)</f>
        <v>Firmeneigentümer/-innen (AG oder GmbH)</v>
      </c>
      <c r="N13" s="61"/>
      <c r="O13" s="61" t="str">
        <f>VLOOKUP("&lt;SpaltenTitel_7&gt;",Uebersetzungen!$B$3:$E$201,Uebersetzungen!$B$2+1,FALSE)</f>
        <v>Angestellte</v>
      </c>
      <c r="P13" s="61"/>
      <c r="Q13" s="61" t="str">
        <f>VLOOKUP("&lt;SpaltenTitel_8&gt;",Uebersetzungen!$B$3:$E$201,Uebersetzungen!$B$2+1,FALSE)</f>
        <v>Lernende in der dualen beruflichen Grundbildung</v>
      </c>
      <c r="R13" s="61"/>
      <c r="S13" s="61" t="str">
        <f>VLOOKUP("&lt;SpaltenTitel_9&gt;",Uebersetzungen!$B$3:$E$201,Uebersetzungen!$B$2+1,FALSE)</f>
        <v>Erwerbslose</v>
      </c>
      <c r="T13" s="61"/>
      <c r="U13" s="61" t="str">
        <f>VLOOKUP("&lt;SpaltenTitel_10&gt;",Uebersetzungen!$B$3:$E$201,Uebersetzungen!$B$2+1,FALSE)</f>
        <v>Nichterwerbspersonen</v>
      </c>
      <c r="V13" s="62"/>
    </row>
    <row r="14" spans="1:22" ht="38.25" customHeight="1" thickBot="1" x14ac:dyDescent="0.25">
      <c r="A14" s="38"/>
      <c r="B14" s="38"/>
      <c r="C14" s="104" t="str">
        <f>VLOOKUP("&lt;SpaltenTitel_1.1&gt;",Uebersetzungen!$B$3:$E$201,Uebersetzungen!$B$2+1,FALSE)</f>
        <v>Anzahl Personen</v>
      </c>
      <c r="D14" s="103" t="str">
        <f>VLOOKUP("&lt;SpaltenTitel_1.2&gt;",Uebersetzungen!$B$3:$E$201,Uebersetzungen!$B$2+1,FALSE)</f>
        <v>Vertrauens- intervall:          ± (in %)</v>
      </c>
      <c r="E14" s="106" t="str">
        <f>VLOOKUP("&lt;SpaltenTitel_1.1&gt;",Uebersetzungen!$B$3:$E$201,Uebersetzungen!$B$2+1,FALSE)</f>
        <v>Anzahl Personen</v>
      </c>
      <c r="F14" s="103" t="str">
        <f>VLOOKUP("&lt;SpaltenTitel_1.2&gt;",Uebersetzungen!$B$3:$E$201,Uebersetzungen!$B$2+1,FALSE)</f>
        <v>Vertrauens- intervall:          ± (in %)</v>
      </c>
      <c r="G14" s="106" t="str">
        <f>VLOOKUP("&lt;SpaltenTitel_1.1&gt;",Uebersetzungen!$B$3:$E$201,Uebersetzungen!$B$2+1,FALSE)</f>
        <v>Anzahl Personen</v>
      </c>
      <c r="H14" s="103" t="str">
        <f>VLOOKUP("&lt;SpaltenTitel_1.2&gt;",Uebersetzungen!$B$3:$E$201,Uebersetzungen!$B$2+1,FALSE)</f>
        <v>Vertrauens- intervall:          ± (in %)</v>
      </c>
      <c r="I14" s="106" t="str">
        <f>VLOOKUP("&lt;SpaltenTitel_1.1&gt;",Uebersetzungen!$B$3:$E$201,Uebersetzungen!$B$2+1,FALSE)</f>
        <v>Anzahl Personen</v>
      </c>
      <c r="J14" s="103" t="str">
        <f>VLOOKUP("&lt;SpaltenTitel_1.2&gt;",Uebersetzungen!$B$3:$E$201,Uebersetzungen!$B$2+1,FALSE)</f>
        <v>Vertrauens- intervall:          ± (in %)</v>
      </c>
      <c r="K14" s="106" t="str">
        <f>VLOOKUP("&lt;SpaltenTitel_1.1&gt;",Uebersetzungen!$B$3:$E$201,Uebersetzungen!$B$2+1,FALSE)</f>
        <v>Anzahl Personen</v>
      </c>
      <c r="L14" s="103" t="str">
        <f>VLOOKUP("&lt;SpaltenTitel_1.2&gt;",Uebersetzungen!$B$3:$E$201,Uebersetzungen!$B$2+1,FALSE)</f>
        <v>Vertrauens- intervall:          ± (in %)</v>
      </c>
      <c r="M14" s="106" t="str">
        <f>VLOOKUP("&lt;SpaltenTitel_1.1&gt;",Uebersetzungen!$B$3:$E$201,Uebersetzungen!$B$2+1,FALSE)</f>
        <v>Anzahl Personen</v>
      </c>
      <c r="N14" s="103" t="str">
        <f>VLOOKUP("&lt;SpaltenTitel_1.2&gt;",Uebersetzungen!$B$3:$E$201,Uebersetzungen!$B$2+1,FALSE)</f>
        <v>Vertrauens- intervall:          ± (in %)</v>
      </c>
      <c r="O14" s="106" t="str">
        <f>VLOOKUP("&lt;SpaltenTitel_1.1&gt;",Uebersetzungen!$B$3:$E$201,Uebersetzungen!$B$2+1,FALSE)</f>
        <v>Anzahl Personen</v>
      </c>
      <c r="P14" s="103" t="str">
        <f>VLOOKUP("&lt;SpaltenTitel_1.2&gt;",Uebersetzungen!$B$3:$E$201,Uebersetzungen!$B$2+1,FALSE)</f>
        <v>Vertrauens- intervall:          ± (in %)</v>
      </c>
      <c r="Q14" s="106" t="str">
        <f>VLOOKUP("&lt;SpaltenTitel_1.1&gt;",Uebersetzungen!$B$3:$E$201,Uebersetzungen!$B$2+1,FALSE)</f>
        <v>Anzahl Personen</v>
      </c>
      <c r="R14" s="103" t="str">
        <f>VLOOKUP("&lt;SpaltenTitel_1.2&gt;",Uebersetzungen!$B$3:$E$201,Uebersetzungen!$B$2+1,FALSE)</f>
        <v>Vertrauens- intervall:          ± (in %)</v>
      </c>
      <c r="S14" s="106" t="str">
        <f>VLOOKUP("&lt;SpaltenTitel_1.1&gt;",Uebersetzungen!$B$3:$E$201,Uebersetzungen!$B$2+1,FALSE)</f>
        <v>Anzahl Personen</v>
      </c>
      <c r="T14" s="103" t="str">
        <f>VLOOKUP("&lt;SpaltenTitel_1.2&gt;",Uebersetzungen!$B$3:$E$201,Uebersetzungen!$B$2+1,FALSE)</f>
        <v>Vertrauens- intervall:          ± (in %)</v>
      </c>
      <c r="U14" s="106" t="str">
        <f>VLOOKUP("&lt;SpaltenTitel_1.1&gt;",Uebersetzungen!$B$3:$E$201,Uebersetzungen!$B$2+1,FALSE)</f>
        <v>Anzahl Personen</v>
      </c>
      <c r="V14" s="111" t="str">
        <f>VLOOKUP("&lt;SpaltenTitel_1.2&gt;",Uebersetzungen!$B$3:$E$201,Uebersetzungen!$B$2+1,FALSE)</f>
        <v>Vertrauens- intervall:          ± (in %)</v>
      </c>
    </row>
    <row r="15" spans="1:22" x14ac:dyDescent="0.2">
      <c r="A15" s="75" t="str">
        <f>VLOOKUP("&lt;T2Zeilentitel_1&gt;",Uebersetzungen!$B$3:$E$200,Uebersetzungen!$B$2+1,FALSE)</f>
        <v>Total</v>
      </c>
      <c r="B15" s="76"/>
      <c r="C15" s="95">
        <v>174610.99999999709</v>
      </c>
      <c r="D15" s="80">
        <v>0.3394476774220202</v>
      </c>
      <c r="E15" s="95">
        <v>109254.31425392134</v>
      </c>
      <c r="F15" s="80">
        <v>2.1832896226983713</v>
      </c>
      <c r="G15" s="95">
        <v>106960.13753694597</v>
      </c>
      <c r="H15" s="80">
        <v>2.2331374480020427</v>
      </c>
      <c r="I15" s="95">
        <v>8365.0770799234506</v>
      </c>
      <c r="J15" s="80">
        <v>12.240163901498072</v>
      </c>
      <c r="K15" s="95">
        <v>5769.5400422748353</v>
      </c>
      <c r="L15" s="80">
        <v>15.192879309819801</v>
      </c>
      <c r="M15" s="95">
        <v>7865.1239862673074</v>
      </c>
      <c r="N15" s="80">
        <v>12.653963016644919</v>
      </c>
      <c r="O15" s="95">
        <v>82224.202191947406</v>
      </c>
      <c r="P15" s="80">
        <v>2.9511918515275606</v>
      </c>
      <c r="Q15" s="95">
        <v>2736.1942365328941</v>
      </c>
      <c r="R15" s="80">
        <v>22.595748930549558</v>
      </c>
      <c r="S15" s="95">
        <v>2294.1767169753757</v>
      </c>
      <c r="T15" s="80">
        <v>25.854640307180468</v>
      </c>
      <c r="U15" s="95">
        <v>65356.685746075847</v>
      </c>
      <c r="V15" s="80">
        <v>3.5383544715876685</v>
      </c>
    </row>
    <row r="16" spans="1:22" x14ac:dyDescent="0.2">
      <c r="A16" s="77" t="str">
        <f>VLOOKUP("&lt;T2Zeilentitel_2&gt;",Uebersetzungen!$B$3:$E$200,Uebersetzungen!$B$2+1,FALSE)</f>
        <v>Geschlecht</v>
      </c>
      <c r="B16" s="30" t="str">
        <f>VLOOKUP("&lt;T2Zeilentitel_2.1&gt;",Uebersetzungen!$B$3:$E$200,Uebersetzungen!$B$2+1,FALSE)</f>
        <v>Männer</v>
      </c>
      <c r="C16" s="91">
        <v>87537.999999998719</v>
      </c>
      <c r="D16" s="81">
        <v>2.8416627271316646</v>
      </c>
      <c r="E16" s="91">
        <v>59539.016510329384</v>
      </c>
      <c r="F16" s="81">
        <v>3.9893688723963288</v>
      </c>
      <c r="G16" s="91">
        <v>58323.015866429843</v>
      </c>
      <c r="H16" s="81">
        <v>4.0408028797641942</v>
      </c>
      <c r="I16" s="91">
        <v>5035.3260479264909</v>
      </c>
      <c r="J16" s="81">
        <v>16.187582454689082</v>
      </c>
      <c r="K16" s="91">
        <v>3055.4459102153105</v>
      </c>
      <c r="L16" s="81">
        <v>21.486337603387319</v>
      </c>
      <c r="M16" s="91">
        <v>5990.3046571121604</v>
      </c>
      <c r="N16" s="81">
        <v>14.763154040832179</v>
      </c>
      <c r="O16" s="91">
        <v>42480.385770893598</v>
      </c>
      <c r="P16" s="81">
        <v>5.0284479279232208</v>
      </c>
      <c r="Q16" s="96">
        <v>1761.5534802822581</v>
      </c>
      <c r="R16" s="84">
        <v>28.58769554023408</v>
      </c>
      <c r="S16" s="96">
        <v>1216.0006438995231</v>
      </c>
      <c r="T16" s="84">
        <v>36.197426274830825</v>
      </c>
      <c r="U16" s="91">
        <v>27998.983489669376</v>
      </c>
      <c r="V16" s="81">
        <v>6.228223176005411</v>
      </c>
    </row>
    <row r="17" spans="1:22" x14ac:dyDescent="0.2">
      <c r="A17" s="78"/>
      <c r="B17" s="31" t="str">
        <f>VLOOKUP("&lt;T2Zeilentitel_2.2&gt;",Uebersetzungen!$B$3:$E$200,Uebersetzungen!$B$2+1,FALSE)</f>
        <v>Frauen</v>
      </c>
      <c r="C17" s="93">
        <v>87072.999999998399</v>
      </c>
      <c r="D17" s="83">
        <v>2.7106627575432012</v>
      </c>
      <c r="E17" s="93">
        <v>49715.29774359196</v>
      </c>
      <c r="F17" s="83">
        <v>4.25650841637668</v>
      </c>
      <c r="G17" s="93">
        <v>48637.121670516128</v>
      </c>
      <c r="H17" s="83">
        <v>4.3110575666710105</v>
      </c>
      <c r="I17" s="93">
        <v>3329.7510319969601</v>
      </c>
      <c r="J17" s="83">
        <v>19.20840209340756</v>
      </c>
      <c r="K17" s="93">
        <v>2714.0941320595243</v>
      </c>
      <c r="L17" s="83">
        <v>21.790467465943184</v>
      </c>
      <c r="M17" s="93">
        <v>1874.8193291551468</v>
      </c>
      <c r="N17" s="83">
        <v>25.31422051810959</v>
      </c>
      <c r="O17" s="93">
        <v>39743.816421053816</v>
      </c>
      <c r="P17" s="83">
        <v>4.9383610883058227</v>
      </c>
      <c r="Q17" s="107">
        <v>974.64075625063595</v>
      </c>
      <c r="R17" s="85">
        <v>37.166669613932669</v>
      </c>
      <c r="S17" s="98">
        <v>1078.1760730758524</v>
      </c>
      <c r="T17" s="85">
        <v>37.105343268985187</v>
      </c>
      <c r="U17" s="93">
        <v>37357.702256406468</v>
      </c>
      <c r="V17" s="83">
        <v>5.2675117853769242</v>
      </c>
    </row>
    <row r="18" spans="1:22" x14ac:dyDescent="0.2">
      <c r="A18" s="68" t="str">
        <f>VLOOKUP("&lt;T2Zeilentitel_3&gt;",Uebersetzungen!$B$3:$E$200,Uebersetzungen!$B$2+1,FALSE)</f>
        <v>Alter</v>
      </c>
      <c r="B18" s="30" t="str">
        <f>VLOOKUP("&lt;T2Zeilentitel_3.1&gt;",Uebersetzungen!$B$3:$E$200,Uebersetzungen!$B$2+1,FALSE)</f>
        <v>15-24</v>
      </c>
      <c r="C18" s="91">
        <v>18796.999999999985</v>
      </c>
      <c r="D18" s="81">
        <v>8.3769939210267985</v>
      </c>
      <c r="E18" s="91">
        <v>9579.7471173489284</v>
      </c>
      <c r="F18" s="81">
        <v>12.148518953475371</v>
      </c>
      <c r="G18" s="91">
        <v>9263.2378999463472</v>
      </c>
      <c r="H18" s="81">
        <v>12.353782168957872</v>
      </c>
      <c r="I18" s="99" t="s">
        <v>333</v>
      </c>
      <c r="J18" s="81" t="s">
        <v>333</v>
      </c>
      <c r="K18" s="18">
        <v>744.96286474668159</v>
      </c>
      <c r="L18" s="84">
        <v>45.877006051820956</v>
      </c>
      <c r="M18" s="99" t="s">
        <v>333</v>
      </c>
      <c r="N18" s="81" t="s">
        <v>333</v>
      </c>
      <c r="O18" s="91">
        <v>5850.2076768582347</v>
      </c>
      <c r="P18" s="81">
        <v>15.776734490572641</v>
      </c>
      <c r="Q18" s="91">
        <v>2503.3181273577302</v>
      </c>
      <c r="R18" s="81">
        <v>23.59558361983601</v>
      </c>
      <c r="S18" s="18">
        <v>316.50921740258053</v>
      </c>
      <c r="T18" s="84">
        <v>70.117288568762021</v>
      </c>
      <c r="U18" s="91">
        <v>9217.2528826510588</v>
      </c>
      <c r="V18" s="81">
        <v>12.164498588187806</v>
      </c>
    </row>
    <row r="19" spans="1:22" x14ac:dyDescent="0.2">
      <c r="A19" s="69"/>
      <c r="B19" s="32" t="str">
        <f>VLOOKUP("&lt;T2Zeilentitel_3.2&gt;",Uebersetzungen!$B$3:$E$200,Uebersetzungen!$B$2+1,FALSE)</f>
        <v>25-44</v>
      </c>
      <c r="C19" s="91">
        <v>51462.99999999896</v>
      </c>
      <c r="D19" s="81">
        <v>4.4448967572292029</v>
      </c>
      <c r="E19" s="91">
        <v>46053.578679674589</v>
      </c>
      <c r="F19" s="81">
        <v>4.7705496606818105</v>
      </c>
      <c r="G19" s="91">
        <v>44822.287313123576</v>
      </c>
      <c r="H19" s="81">
        <v>4.842211192996686</v>
      </c>
      <c r="I19" s="91">
        <v>2244.1788773699882</v>
      </c>
      <c r="J19" s="81">
        <v>24.902752610738474</v>
      </c>
      <c r="K19" s="91">
        <v>2325.937606530365</v>
      </c>
      <c r="L19" s="81">
        <v>24.621169498891152</v>
      </c>
      <c r="M19" s="91">
        <v>2487.4775052605637</v>
      </c>
      <c r="N19" s="81">
        <v>23.34376790035089</v>
      </c>
      <c r="O19" s="91">
        <v>37598.003146378382</v>
      </c>
      <c r="P19" s="81">
        <v>5.4118202137039191</v>
      </c>
      <c r="Q19" s="99" t="s">
        <v>333</v>
      </c>
      <c r="R19" s="81" t="s">
        <v>333</v>
      </c>
      <c r="S19" s="96">
        <v>1231.2913665510157</v>
      </c>
      <c r="T19" s="84">
        <v>36.216289525685411</v>
      </c>
      <c r="U19" s="91">
        <v>5409.4213203244071</v>
      </c>
      <c r="V19" s="81">
        <v>16.311343061743177</v>
      </c>
    </row>
    <row r="20" spans="1:22" x14ac:dyDescent="0.2">
      <c r="A20" s="69"/>
      <c r="B20" s="32" t="str">
        <f>VLOOKUP("&lt;T2Zeilentitel_3.3&gt;",Uebersetzungen!$B$3:$E$200,Uebersetzungen!$B$2+1,FALSE)</f>
        <v>45-64</v>
      </c>
      <c r="C20" s="91">
        <v>59159.999999999396</v>
      </c>
      <c r="D20" s="81">
        <v>3.7416967720996319</v>
      </c>
      <c r="E20" s="91">
        <v>49345.08728720111</v>
      </c>
      <c r="F20" s="81">
        <v>4.2715079096661492</v>
      </c>
      <c r="G20" s="91">
        <v>48598.711154179327</v>
      </c>
      <c r="H20" s="81">
        <v>4.3117751968688331</v>
      </c>
      <c r="I20" s="91">
        <v>4552.5539187925269</v>
      </c>
      <c r="J20" s="81">
        <v>16.668429392912035</v>
      </c>
      <c r="K20" s="91">
        <v>2282.2177252761821</v>
      </c>
      <c r="L20" s="81">
        <v>23.607231812218139</v>
      </c>
      <c r="M20" s="91">
        <v>4692.7087778459863</v>
      </c>
      <c r="N20" s="81">
        <v>16.421863485691475</v>
      </c>
      <c r="O20" s="91">
        <v>37005.044800673684</v>
      </c>
      <c r="P20" s="81">
        <v>5.1483501274361014</v>
      </c>
      <c r="Q20" s="99" t="s">
        <v>333</v>
      </c>
      <c r="R20" s="81" t="s">
        <v>333</v>
      </c>
      <c r="S20" s="18">
        <v>746.37613302177954</v>
      </c>
      <c r="T20" s="84">
        <v>43.628512978459668</v>
      </c>
      <c r="U20" s="91">
        <v>9814.9127127983065</v>
      </c>
      <c r="V20" s="81">
        <v>11.07730308572501</v>
      </c>
    </row>
    <row r="21" spans="1:22" x14ac:dyDescent="0.2">
      <c r="A21" s="70"/>
      <c r="B21" s="31" t="str">
        <f>VLOOKUP("&lt;T2Zeilentitel_3.4&gt;",Uebersetzungen!$B$3:$E$200,Uebersetzungen!$B$2+1,FALSE)</f>
        <v>65 und mehr</v>
      </c>
      <c r="C21" s="93">
        <v>45190.999999998872</v>
      </c>
      <c r="D21" s="83">
        <v>4.5137334996911411</v>
      </c>
      <c r="E21" s="93">
        <v>4275.9011696967336</v>
      </c>
      <c r="F21" s="83">
        <v>16.642229945767468</v>
      </c>
      <c r="G21" s="93">
        <v>4275.9011696967336</v>
      </c>
      <c r="H21" s="83">
        <v>16.642229945767468</v>
      </c>
      <c r="I21" s="98">
        <v>1491.6312138724768</v>
      </c>
      <c r="J21" s="85">
        <v>28.493480192843471</v>
      </c>
      <c r="K21" s="107">
        <v>416.4218457216067</v>
      </c>
      <c r="L21" s="85">
        <v>53.559544464518055</v>
      </c>
      <c r="M21" s="107">
        <v>596.9015420655237</v>
      </c>
      <c r="N21" s="85">
        <v>44.290500057553821</v>
      </c>
      <c r="O21" s="93">
        <v>1770.9465680371286</v>
      </c>
      <c r="P21" s="83">
        <v>26.205754993955356</v>
      </c>
      <c r="Q21" s="105" t="s">
        <v>333</v>
      </c>
      <c r="R21" s="83" t="s">
        <v>333</v>
      </c>
      <c r="S21" s="105" t="s">
        <v>333</v>
      </c>
      <c r="T21" s="83" t="s">
        <v>333</v>
      </c>
      <c r="U21" s="93">
        <v>40915.098830302137</v>
      </c>
      <c r="V21" s="83">
        <v>4.8367177533976369</v>
      </c>
    </row>
    <row r="22" spans="1:22" x14ac:dyDescent="0.2">
      <c r="A22" s="69" t="str">
        <f>VLOOKUP("&lt;T2Zeilentitel_4&gt;",Uebersetzungen!$B$3:$E$200,Uebersetzungen!$B$2+1,FALSE)</f>
        <v>Staatsangehörigkeit</v>
      </c>
      <c r="B22" s="22" t="str">
        <f>VLOOKUP("&lt;T2Zeilentitel_4.1&gt;",Uebersetzungen!$B$3:$E$200,Uebersetzungen!$B$2+1,FALSE)</f>
        <v>Schweiz</v>
      </c>
      <c r="C22" s="91">
        <v>139295.99999999735</v>
      </c>
      <c r="D22" s="81">
        <v>1.3380059828042574</v>
      </c>
      <c r="E22" s="91">
        <v>83197.454638584153</v>
      </c>
      <c r="F22" s="81">
        <v>2.8479815924024865</v>
      </c>
      <c r="G22" s="91">
        <v>81960.895710868921</v>
      </c>
      <c r="H22" s="81">
        <v>2.8834762803351612</v>
      </c>
      <c r="I22" s="91">
        <v>7754.2215323634628</v>
      </c>
      <c r="J22" s="81">
        <v>12.716752717997801</v>
      </c>
      <c r="K22" s="91">
        <v>4246.0113148063674</v>
      </c>
      <c r="L22" s="81">
        <v>17.391143871054883</v>
      </c>
      <c r="M22" s="91">
        <v>6516.3769231447177</v>
      </c>
      <c r="N22" s="81">
        <v>13.813231643779513</v>
      </c>
      <c r="O22" s="91">
        <v>61278.961188550704</v>
      </c>
      <c r="P22" s="81">
        <v>3.681890343251883</v>
      </c>
      <c r="Q22" s="91">
        <v>2165.3247520036357</v>
      </c>
      <c r="R22" s="81">
        <v>24.866963629119383</v>
      </c>
      <c r="S22" s="96">
        <v>1236.5589277152499</v>
      </c>
      <c r="T22" s="84">
        <v>34.373673462069135</v>
      </c>
      <c r="U22" s="91">
        <v>56098.54536141322</v>
      </c>
      <c r="V22" s="81">
        <v>3.9234553379176793</v>
      </c>
    </row>
    <row r="23" spans="1:22" x14ac:dyDescent="0.2">
      <c r="A23" s="69"/>
      <c r="B23" s="22" t="str">
        <f>VLOOKUP("&lt;T2Zeilentitel_4.2&gt;",Uebersetzungen!$B$3:$E$200,Uebersetzungen!$B$2+1,FALSE)</f>
        <v>EU und EFTA</v>
      </c>
      <c r="C23" s="91">
        <v>27958.370138491278</v>
      </c>
      <c r="D23" s="81">
        <v>6.602535469603299</v>
      </c>
      <c r="E23" s="91">
        <v>21941.9611190777</v>
      </c>
      <c r="F23" s="81">
        <v>7.6277742470139822</v>
      </c>
      <c r="G23" s="91">
        <v>21401.560900318349</v>
      </c>
      <c r="H23" s="81">
        <v>7.7311850763882246</v>
      </c>
      <c r="I23" s="18">
        <v>577.42648496244499</v>
      </c>
      <c r="J23" s="84">
        <v>48.661754385598023</v>
      </c>
      <c r="K23" s="96">
        <v>1082.465431952892</v>
      </c>
      <c r="L23" s="84">
        <v>36.855166976435733</v>
      </c>
      <c r="M23" s="96">
        <v>1074.3420702102676</v>
      </c>
      <c r="N23" s="84">
        <v>35.579653333785735</v>
      </c>
      <c r="O23" s="91">
        <v>18279.800413992954</v>
      </c>
      <c r="P23" s="81">
        <v>8.4418424297461385</v>
      </c>
      <c r="Q23" s="18">
        <v>387.52649919979012</v>
      </c>
      <c r="R23" s="84">
        <v>64.632919417545992</v>
      </c>
      <c r="S23" s="18">
        <v>540.40021875934315</v>
      </c>
      <c r="T23" s="84">
        <v>52.614244513417425</v>
      </c>
      <c r="U23" s="91">
        <v>6016.4090194135842</v>
      </c>
      <c r="V23" s="81">
        <v>14.902891295208756</v>
      </c>
    </row>
    <row r="24" spans="1:22" x14ac:dyDescent="0.2">
      <c r="A24" s="69"/>
      <c r="B24" s="22" t="str">
        <f>VLOOKUP("&lt;T2Zeilentitel_4.3&gt;",Uebersetzungen!$B$3:$E$200,Uebersetzungen!$B$2+1,FALSE)</f>
        <v>Andere europäische Staaten</v>
      </c>
      <c r="C24" s="91">
        <v>3796.6133258198647</v>
      </c>
      <c r="D24" s="81">
        <v>20.627411914711942</v>
      </c>
      <c r="E24" s="96">
        <v>2015.055359307685</v>
      </c>
      <c r="F24" s="84">
        <v>28.560365889244615</v>
      </c>
      <c r="G24" s="96">
        <v>1663.4579463823716</v>
      </c>
      <c r="H24" s="84">
        <v>30.944572783646116</v>
      </c>
      <c r="I24" s="99" t="s">
        <v>333</v>
      </c>
      <c r="J24" s="81" t="s">
        <v>333</v>
      </c>
      <c r="K24" s="99" t="s">
        <v>333</v>
      </c>
      <c r="L24" s="81" t="s">
        <v>333</v>
      </c>
      <c r="M24" s="99" t="s">
        <v>333</v>
      </c>
      <c r="N24" s="81" t="s">
        <v>333</v>
      </c>
      <c r="O24" s="96">
        <v>1363.0787394734009</v>
      </c>
      <c r="P24" s="84">
        <v>34.163426048376053</v>
      </c>
      <c r="Q24" s="99" t="s">
        <v>333</v>
      </c>
      <c r="R24" s="81" t="s">
        <v>333</v>
      </c>
      <c r="S24" s="18">
        <v>351.59741292531334</v>
      </c>
      <c r="T24" s="84">
        <v>73.683181108574246</v>
      </c>
      <c r="U24" s="96">
        <v>1781.5579665121797</v>
      </c>
      <c r="V24" s="84">
        <v>30.095513968335283</v>
      </c>
    </row>
    <row r="25" spans="1:22" x14ac:dyDescent="0.2">
      <c r="A25" s="69"/>
      <c r="B25" s="22" t="str">
        <f>VLOOKUP("&lt;T2Zeilentitel_4.4&gt;",Uebersetzungen!$B$3:$E$200,Uebersetzungen!$B$2+1,FALSE)</f>
        <v>Andere Staaten</v>
      </c>
      <c r="C25" s="91">
        <v>3560.0165356888847</v>
      </c>
      <c r="D25" s="81">
        <v>20.772325995727456</v>
      </c>
      <c r="E25" s="91">
        <v>2099.8431369518948</v>
      </c>
      <c r="F25" s="81">
        <v>27.315540341691705</v>
      </c>
      <c r="G25" s="96">
        <v>1934.222979376425</v>
      </c>
      <c r="H25" s="84">
        <v>28.496837219543227</v>
      </c>
      <c r="I25" s="17" t="s">
        <v>333</v>
      </c>
      <c r="J25" s="81" t="s">
        <v>333</v>
      </c>
      <c r="K25" s="18">
        <v>267.44438599806131</v>
      </c>
      <c r="L25" s="84">
        <v>80.334731086362282</v>
      </c>
      <c r="M25" s="18">
        <v>223.73148487624817</v>
      </c>
      <c r="N25" s="84">
        <v>87.379641377296934</v>
      </c>
      <c r="O25" s="96">
        <v>1302.361849930486</v>
      </c>
      <c r="P25" s="84">
        <v>34.002003375062841</v>
      </c>
      <c r="Q25" s="99" t="s">
        <v>333</v>
      </c>
      <c r="R25" s="81" t="s">
        <v>333</v>
      </c>
      <c r="S25" s="99" t="s">
        <v>333</v>
      </c>
      <c r="T25" s="81" t="s">
        <v>333</v>
      </c>
      <c r="U25" s="96">
        <v>1460.1733987369907</v>
      </c>
      <c r="V25" s="84">
        <v>32.300569890167537</v>
      </c>
    </row>
    <row r="26" spans="1:22" x14ac:dyDescent="0.2">
      <c r="A26" s="70"/>
      <c r="B26" s="23" t="str">
        <f>VLOOKUP("&lt;T2Zeilentitel_4.5&gt;",Uebersetzungen!$B$3:$E$200,Uebersetzungen!$B$2+1,FALSE)</f>
        <v>Staatsangehörigkeit unbekannt</v>
      </c>
      <c r="C26" s="105" t="s">
        <v>333</v>
      </c>
      <c r="D26" s="83" t="s">
        <v>333</v>
      </c>
      <c r="E26" s="105" t="s">
        <v>333</v>
      </c>
      <c r="F26" s="83" t="s">
        <v>333</v>
      </c>
      <c r="G26" s="105" t="s">
        <v>333</v>
      </c>
      <c r="H26" s="83" t="s">
        <v>333</v>
      </c>
      <c r="I26" s="105" t="s">
        <v>333</v>
      </c>
      <c r="J26" s="83" t="s">
        <v>333</v>
      </c>
      <c r="K26" s="105" t="s">
        <v>333</v>
      </c>
      <c r="L26" s="83" t="s">
        <v>333</v>
      </c>
      <c r="M26" s="105" t="s">
        <v>333</v>
      </c>
      <c r="N26" s="83" t="s">
        <v>333</v>
      </c>
      <c r="O26" s="105" t="s">
        <v>333</v>
      </c>
      <c r="P26" s="83" t="s">
        <v>333</v>
      </c>
      <c r="Q26" s="105" t="s">
        <v>333</v>
      </c>
      <c r="R26" s="83" t="s">
        <v>333</v>
      </c>
      <c r="S26" s="105" t="s">
        <v>333</v>
      </c>
      <c r="T26" s="83" t="s">
        <v>333</v>
      </c>
      <c r="U26" s="105" t="s">
        <v>333</v>
      </c>
      <c r="V26" s="83" t="s">
        <v>333</v>
      </c>
    </row>
    <row r="27" spans="1:22" x14ac:dyDescent="0.2">
      <c r="A27" s="68" t="str">
        <f>VLOOKUP("&lt;T2Zeilentitel_5&gt;",Uebersetzungen!$B$3:$E$200,Uebersetzungen!$B$2+1,FALSE)</f>
        <v>Migrationsstatus</v>
      </c>
      <c r="B27" s="30" t="str">
        <f>VLOOKUP("&lt;T2Zeilentitel_5.1&gt;",Uebersetzungen!$B$3:$E$200,Uebersetzungen!$B$2+1,FALSE)</f>
        <v>Schweizer/innen ohne Migrationshintergrund</v>
      </c>
      <c r="C27" s="91">
        <v>120977.06466216042</v>
      </c>
      <c r="D27" s="81">
        <v>1.7908926997663732</v>
      </c>
      <c r="E27" s="91">
        <v>72576.953121896702</v>
      </c>
      <c r="F27" s="81">
        <v>3.2314427211462728</v>
      </c>
      <c r="G27" s="91">
        <v>71489.444347959274</v>
      </c>
      <c r="H27" s="81">
        <v>3.2675204300893315</v>
      </c>
      <c r="I27" s="91">
        <v>6878.9458873226176</v>
      </c>
      <c r="J27" s="81">
        <v>13.556984132503738</v>
      </c>
      <c r="K27" s="91">
        <v>3563.3422837204939</v>
      </c>
      <c r="L27" s="81">
        <v>19.055535430839971</v>
      </c>
      <c r="M27" s="91">
        <v>5505.6592603398303</v>
      </c>
      <c r="N27" s="81">
        <v>15.043234489718087</v>
      </c>
      <c r="O27" s="91">
        <v>53555.849136150886</v>
      </c>
      <c r="P27" s="81">
        <v>4.0827744182458252</v>
      </c>
      <c r="Q27" s="91">
        <v>1985.647780425367</v>
      </c>
      <c r="R27" s="81">
        <v>25.989129941260536</v>
      </c>
      <c r="S27" s="96">
        <v>1087.5087739374158</v>
      </c>
      <c r="T27" s="84">
        <v>36.795651699994615</v>
      </c>
      <c r="U27" s="91">
        <v>48400.11154026381</v>
      </c>
      <c r="V27" s="81">
        <v>4.3588592208330006</v>
      </c>
    </row>
    <row r="28" spans="1:22" x14ac:dyDescent="0.2">
      <c r="A28" s="69"/>
      <c r="B28" s="22" t="str">
        <f>VLOOKUP("&lt;T2Zeilentitel_5.2&gt;",Uebersetzungen!$B$3:$E$200,Uebersetzungen!$B$2+1,FALSE)</f>
        <v>Schweizer/innen mit Migrationshintergrund</v>
      </c>
      <c r="C28" s="91">
        <v>17229.463930897586</v>
      </c>
      <c r="D28" s="81">
        <v>8.1676596389216254</v>
      </c>
      <c r="E28" s="91">
        <v>10274.482230801026</v>
      </c>
      <c r="F28" s="81">
        <v>10.784259140381458</v>
      </c>
      <c r="G28" s="91">
        <v>10125.432077023192</v>
      </c>
      <c r="H28" s="81">
        <v>10.860124446686935</v>
      </c>
      <c r="I28" s="18">
        <v>875.27564504084512</v>
      </c>
      <c r="J28" s="84">
        <v>38.17957374241697</v>
      </c>
      <c r="K28" s="18">
        <v>682.66903108587383</v>
      </c>
      <c r="L28" s="84">
        <v>43.419412755371972</v>
      </c>
      <c r="M28" s="18">
        <v>930.74046431917418</v>
      </c>
      <c r="N28" s="84">
        <v>37.322997499288647</v>
      </c>
      <c r="O28" s="91">
        <v>7457.0699649990374</v>
      </c>
      <c r="P28" s="81">
        <v>12.710264638537428</v>
      </c>
      <c r="Q28" s="18">
        <v>179.67697157826842</v>
      </c>
      <c r="R28" s="84">
        <v>86.494779027842853</v>
      </c>
      <c r="S28" s="99" t="s">
        <v>333</v>
      </c>
      <c r="T28" s="81" t="s">
        <v>333</v>
      </c>
      <c r="U28" s="91">
        <v>6954.9817000965531</v>
      </c>
      <c r="V28" s="81">
        <v>13.330343956822116</v>
      </c>
    </row>
    <row r="29" spans="1:22" x14ac:dyDescent="0.2">
      <c r="A29" s="69"/>
      <c r="B29" s="22" t="str">
        <f>VLOOKUP("&lt;T2Zeilentitel_5.3&gt;",Uebersetzungen!$B$3:$E$200,Uebersetzungen!$B$2+1,FALSE)</f>
        <v>Ausländer/innen der ersten Generation</v>
      </c>
      <c r="C29" s="91">
        <v>33029.912874495341</v>
      </c>
      <c r="D29" s="81">
        <v>6.0597300136581662</v>
      </c>
      <c r="E29" s="91">
        <v>24626.058641521544</v>
      </c>
      <c r="F29" s="81">
        <v>7.2136856437809671</v>
      </c>
      <c r="G29" s="91">
        <v>23568.440852261432</v>
      </c>
      <c r="H29" s="81">
        <v>7.3734199890913237</v>
      </c>
      <c r="I29" s="18">
        <v>500.38852372129077</v>
      </c>
      <c r="J29" s="84">
        <v>51.97359287758902</v>
      </c>
      <c r="K29" s="96">
        <v>1345.6194922149002</v>
      </c>
      <c r="L29" s="84">
        <v>33.459044619673001</v>
      </c>
      <c r="M29" s="96">
        <v>1282.2456602857808</v>
      </c>
      <c r="N29" s="84">
        <v>33.571715256101967</v>
      </c>
      <c r="O29" s="91">
        <v>20033.808591788831</v>
      </c>
      <c r="P29" s="81">
        <v>8.0606269753173549</v>
      </c>
      <c r="Q29" s="18">
        <v>406.37858425062672</v>
      </c>
      <c r="R29" s="84">
        <v>64.632258309150274</v>
      </c>
      <c r="S29" s="96">
        <v>1057.6177892601261</v>
      </c>
      <c r="T29" s="84">
        <v>39.340658100812107</v>
      </c>
      <c r="U29" s="91">
        <v>8403.8542329737884</v>
      </c>
      <c r="V29" s="81">
        <v>12.816272570677183</v>
      </c>
    </row>
    <row r="30" spans="1:22" x14ac:dyDescent="0.2">
      <c r="A30" s="69"/>
      <c r="B30" s="22" t="str">
        <f>VLOOKUP("&lt;T2Zeilentitel_5.4&gt;",Uebersetzungen!$B$3:$E$200,Uebersetzungen!$B$2+1,FALSE)</f>
        <v>Ausländer/innen der zweiten und höheren Generation</v>
      </c>
      <c r="C30" s="91">
        <v>2242.1687357672195</v>
      </c>
      <c r="D30" s="81">
        <v>25.999294713757745</v>
      </c>
      <c r="E30" s="96">
        <v>1430.8009738157064</v>
      </c>
      <c r="F30" s="84">
        <v>32.552539557330007</v>
      </c>
      <c r="G30" s="96">
        <v>1430.8009738157064</v>
      </c>
      <c r="H30" s="84">
        <v>32.552539557330007</v>
      </c>
      <c r="I30" s="99" t="s">
        <v>333</v>
      </c>
      <c r="J30" s="81" t="s">
        <v>333</v>
      </c>
      <c r="K30" s="99" t="s">
        <v>333</v>
      </c>
      <c r="L30" s="81" t="s">
        <v>333</v>
      </c>
      <c r="M30" s="99" t="s">
        <v>333</v>
      </c>
      <c r="N30" s="81" t="s">
        <v>333</v>
      </c>
      <c r="O30" s="18">
        <v>911.43241160800073</v>
      </c>
      <c r="P30" s="84">
        <v>40.799008619196279</v>
      </c>
      <c r="Q30" s="99" t="s">
        <v>333</v>
      </c>
      <c r="R30" s="81" t="s">
        <v>333</v>
      </c>
      <c r="S30" s="17" t="s">
        <v>333</v>
      </c>
      <c r="T30" s="81" t="s">
        <v>333</v>
      </c>
      <c r="U30" s="18">
        <v>811.36776195151242</v>
      </c>
      <c r="V30" s="84">
        <v>43.510718261508764</v>
      </c>
    </row>
    <row r="31" spans="1:22" x14ac:dyDescent="0.2">
      <c r="A31" s="70"/>
      <c r="B31" s="22" t="str">
        <f>VLOOKUP("&lt;T2Zeilentitel_5.5&gt;",Uebersetzungen!$B$3:$E$200,Uebersetzungen!$B$2+1,FALSE)</f>
        <v>Migrationshintergrund unbekannt</v>
      </c>
      <c r="C31" s="98">
        <v>1132.3897966767222</v>
      </c>
      <c r="D31" s="85">
        <v>34.310289514586422</v>
      </c>
      <c r="E31" s="107">
        <v>346.01928588647337</v>
      </c>
      <c r="F31" s="85">
        <v>61.381692226054518</v>
      </c>
      <c r="G31" s="107">
        <v>346.01928588647337</v>
      </c>
      <c r="H31" s="85">
        <v>61.381692226054518</v>
      </c>
      <c r="I31" s="105" t="s">
        <v>333</v>
      </c>
      <c r="J31" s="83" t="s">
        <v>333</v>
      </c>
      <c r="K31" s="105" t="s">
        <v>333</v>
      </c>
      <c r="L31" s="83" t="s">
        <v>333</v>
      </c>
      <c r="M31" s="109" t="s">
        <v>333</v>
      </c>
      <c r="N31" s="83" t="s">
        <v>333</v>
      </c>
      <c r="O31" s="107">
        <v>266.04208740076251</v>
      </c>
      <c r="P31" s="85">
        <v>68.40570241334332</v>
      </c>
      <c r="Q31" s="105" t="s">
        <v>333</v>
      </c>
      <c r="R31" s="83" t="s">
        <v>333</v>
      </c>
      <c r="S31" s="105" t="s">
        <v>333</v>
      </c>
      <c r="T31" s="83" t="s">
        <v>333</v>
      </c>
      <c r="U31" s="107">
        <v>786.37051079024877</v>
      </c>
      <c r="V31" s="85">
        <v>41.451071747695963</v>
      </c>
    </row>
    <row r="32" spans="1:22" ht="12.75" customHeight="1" x14ac:dyDescent="0.2">
      <c r="A32" s="68" t="str">
        <f>VLOOKUP("&lt;T2Zeilentitel_6&gt;",Uebersetzungen!$B$3:$E$200,Uebersetzungen!$B$2+1,FALSE)</f>
        <v>Sozioprofessionelle Kategorien</v>
      </c>
      <c r="B32" s="41" t="str">
        <f>VLOOKUP("&lt;T2Zeilentitel_6.1&gt;",Uebersetzungen!$B$3:$E$200,Uebersetzungen!$B$2+1,FALSE)</f>
        <v>Oberstes Management</v>
      </c>
      <c r="C32" s="91">
        <v>2692.4614986601091</v>
      </c>
      <c r="D32" s="81">
        <v>21.746551361625535</v>
      </c>
      <c r="E32" s="91">
        <v>2692.4614986601086</v>
      </c>
      <c r="F32" s="81">
        <v>21.746551361625539</v>
      </c>
      <c r="G32" s="91">
        <v>2692.4614986601086</v>
      </c>
      <c r="H32" s="81">
        <v>21.746551361625539</v>
      </c>
      <c r="I32" s="99" t="s">
        <v>333</v>
      </c>
      <c r="J32" s="81" t="s">
        <v>333</v>
      </c>
      <c r="K32" s="17" t="s">
        <v>333</v>
      </c>
      <c r="L32" s="81" t="s">
        <v>333</v>
      </c>
      <c r="M32" s="18">
        <v>990.79182506528423</v>
      </c>
      <c r="N32" s="84">
        <v>36.911258630721079</v>
      </c>
      <c r="O32" s="96">
        <v>1576.4735182041397</v>
      </c>
      <c r="P32" s="84">
        <v>28.174990488560862</v>
      </c>
      <c r="Q32" s="110" t="s">
        <v>333</v>
      </c>
      <c r="R32" s="101" t="s">
        <v>333</v>
      </c>
      <c r="S32" s="110" t="s">
        <v>333</v>
      </c>
      <c r="T32" s="101" t="s">
        <v>333</v>
      </c>
      <c r="U32" s="110" t="s">
        <v>333</v>
      </c>
      <c r="V32" s="101" t="s">
        <v>333</v>
      </c>
    </row>
    <row r="33" spans="1:22" x14ac:dyDescent="0.2">
      <c r="A33" s="69"/>
      <c r="B33" s="39" t="str">
        <f>VLOOKUP("&lt;T2Zeilentitel_6.2&gt;",Uebersetzungen!$B$3:$E$200,Uebersetzungen!$B$2+1,FALSE)</f>
        <v>Freie und gleichgestellte Berufe</v>
      </c>
      <c r="C33" s="91">
        <v>2805.8072395718655</v>
      </c>
      <c r="D33" s="81">
        <v>21.179835407272396</v>
      </c>
      <c r="E33" s="91">
        <v>2805.8072395718664</v>
      </c>
      <c r="F33" s="81">
        <v>21.179835407272375</v>
      </c>
      <c r="G33" s="91">
        <v>2805.8072395718664</v>
      </c>
      <c r="H33" s="81">
        <v>21.179835407272375</v>
      </c>
      <c r="I33" s="96">
        <v>1209.579552609564</v>
      </c>
      <c r="J33" s="84">
        <v>32.373638980631313</v>
      </c>
      <c r="K33" s="17" t="s">
        <v>333</v>
      </c>
      <c r="L33" s="81" t="s">
        <v>333</v>
      </c>
      <c r="M33" s="96">
        <v>1596.2276869623017</v>
      </c>
      <c r="N33" s="84">
        <v>28.205533591392797</v>
      </c>
      <c r="O33" s="17" t="s">
        <v>333</v>
      </c>
      <c r="P33" s="81" t="s">
        <v>333</v>
      </c>
      <c r="Q33" s="110" t="s">
        <v>333</v>
      </c>
      <c r="R33" s="101" t="s">
        <v>333</v>
      </c>
      <c r="S33" s="110" t="s">
        <v>333</v>
      </c>
      <c r="T33" s="101" t="s">
        <v>333</v>
      </c>
      <c r="U33" s="110" t="s">
        <v>333</v>
      </c>
      <c r="V33" s="101" t="s">
        <v>333</v>
      </c>
    </row>
    <row r="34" spans="1:22" x14ac:dyDescent="0.2">
      <c r="A34" s="69"/>
      <c r="B34" s="39" t="str">
        <f>VLOOKUP("&lt;T2Zeilentitel_6.3&gt;",Uebersetzungen!$B$3:$E$200,Uebersetzungen!$B$2+1,FALSE)</f>
        <v>Andere Selbstständige</v>
      </c>
      <c r="C34" s="91">
        <v>12242.053867118346</v>
      </c>
      <c r="D34" s="81">
        <v>10.034434969579339</v>
      </c>
      <c r="E34" s="91">
        <v>12242.053867118348</v>
      </c>
      <c r="F34" s="81">
        <v>10.034434969579337</v>
      </c>
      <c r="G34" s="91">
        <v>12242.053867118348</v>
      </c>
      <c r="H34" s="81">
        <v>10.034434969579337</v>
      </c>
      <c r="I34" s="91">
        <v>6963.9493928786196</v>
      </c>
      <c r="J34" s="81">
        <v>13.525187802453091</v>
      </c>
      <c r="K34" s="17" t="s">
        <v>333</v>
      </c>
      <c r="L34" s="81" t="s">
        <v>333</v>
      </c>
      <c r="M34" s="91">
        <v>5278.1044742397262</v>
      </c>
      <c r="N34" s="81">
        <v>15.587502536604113</v>
      </c>
      <c r="O34" s="17" t="s">
        <v>333</v>
      </c>
      <c r="P34" s="81" t="s">
        <v>333</v>
      </c>
      <c r="Q34" s="110" t="s">
        <v>333</v>
      </c>
      <c r="R34" s="101" t="s">
        <v>333</v>
      </c>
      <c r="S34" s="110" t="s">
        <v>333</v>
      </c>
      <c r="T34" s="101" t="s">
        <v>333</v>
      </c>
      <c r="U34" s="110" t="s">
        <v>333</v>
      </c>
      <c r="V34" s="101" t="s">
        <v>333</v>
      </c>
    </row>
    <row r="35" spans="1:22" x14ac:dyDescent="0.2">
      <c r="A35" s="69"/>
      <c r="B35" s="39" t="str">
        <f>VLOOKUP("&lt;T2Zeilentitel_6.4&gt;",Uebersetzungen!$B$3:$E$200,Uebersetzungen!$B$2+1,FALSE)</f>
        <v>Akademische Berufe und oberes Kader</v>
      </c>
      <c r="C35" s="91">
        <v>16131.724467909724</v>
      </c>
      <c r="D35" s="81">
        <v>8.5165148068226486</v>
      </c>
      <c r="E35" s="91">
        <v>16131.724467909726</v>
      </c>
      <c r="F35" s="81">
        <v>8.5165148068226362</v>
      </c>
      <c r="G35" s="91">
        <v>16131.724467909726</v>
      </c>
      <c r="H35" s="81">
        <v>8.5165148068226362</v>
      </c>
      <c r="I35" s="17" t="s">
        <v>333</v>
      </c>
      <c r="J35" s="81" t="s">
        <v>333</v>
      </c>
      <c r="K35" s="18">
        <v>538.69257973673064</v>
      </c>
      <c r="L35" s="84">
        <v>50.074304912073856</v>
      </c>
      <c r="M35" s="17" t="s">
        <v>333</v>
      </c>
      <c r="N35" s="81" t="s">
        <v>333</v>
      </c>
      <c r="O35" s="91">
        <v>15593.031888172993</v>
      </c>
      <c r="P35" s="81">
        <v>8.6691097326261293</v>
      </c>
      <c r="Q35" s="110" t="s">
        <v>333</v>
      </c>
      <c r="R35" s="101" t="s">
        <v>333</v>
      </c>
      <c r="S35" s="110" t="s">
        <v>333</v>
      </c>
      <c r="T35" s="101" t="s">
        <v>333</v>
      </c>
      <c r="U35" s="110" t="s">
        <v>333</v>
      </c>
      <c r="V35" s="101" t="s">
        <v>333</v>
      </c>
    </row>
    <row r="36" spans="1:22" x14ac:dyDescent="0.2">
      <c r="A36" s="69"/>
      <c r="B36" s="39" t="str">
        <f>VLOOKUP("&lt;T2Zeilentitel_6.5&gt;",Uebersetzungen!$B$3:$E$200,Uebersetzungen!$B$2+1,FALSE)</f>
        <v>Intermediäre Berufe</v>
      </c>
      <c r="C36" s="91">
        <v>32353.683494224042</v>
      </c>
      <c r="D36" s="81">
        <v>5.7730507066936791</v>
      </c>
      <c r="E36" s="91">
        <v>32353.683494224042</v>
      </c>
      <c r="F36" s="81">
        <v>5.7730507066936791</v>
      </c>
      <c r="G36" s="91">
        <v>32353.683494224042</v>
      </c>
      <c r="H36" s="81">
        <v>5.7730507066936791</v>
      </c>
      <c r="I36" s="17" t="s">
        <v>333</v>
      </c>
      <c r="J36" s="81" t="s">
        <v>333</v>
      </c>
      <c r="K36" s="96">
        <v>1392.1586471080921</v>
      </c>
      <c r="L36" s="84">
        <v>31.088701308777406</v>
      </c>
      <c r="M36" s="17" t="s">
        <v>333</v>
      </c>
      <c r="N36" s="81" t="s">
        <v>333</v>
      </c>
      <c r="O36" s="91">
        <v>30961.52484711595</v>
      </c>
      <c r="P36" s="81">
        <v>5.9254963693393519</v>
      </c>
      <c r="Q36" s="110" t="s">
        <v>333</v>
      </c>
      <c r="R36" s="101" t="s">
        <v>333</v>
      </c>
      <c r="S36" s="110" t="s">
        <v>333</v>
      </c>
      <c r="T36" s="101" t="s">
        <v>333</v>
      </c>
      <c r="U36" s="110" t="s">
        <v>333</v>
      </c>
      <c r="V36" s="101" t="s">
        <v>333</v>
      </c>
    </row>
    <row r="37" spans="1:22" x14ac:dyDescent="0.2">
      <c r="A37" s="69"/>
      <c r="B37" s="39" t="str">
        <f>VLOOKUP("&lt;T2Zeilentitel_6.6&gt;",Uebersetzungen!$B$3:$E$200,Uebersetzungen!$B$2+1,FALSE)</f>
        <v>Qualifizierte nichtmanuelle Berufe</v>
      </c>
      <c r="C37" s="91">
        <v>19713.229261553563</v>
      </c>
      <c r="D37" s="81">
        <v>7.7075461590373955</v>
      </c>
      <c r="E37" s="91">
        <v>19713.229261553559</v>
      </c>
      <c r="F37" s="81">
        <v>7.7075461590373964</v>
      </c>
      <c r="G37" s="91">
        <v>19713.229261553559</v>
      </c>
      <c r="H37" s="81">
        <v>7.7075461590373964</v>
      </c>
      <c r="I37" s="17" t="s">
        <v>333</v>
      </c>
      <c r="J37" s="81" t="s">
        <v>333</v>
      </c>
      <c r="K37" s="91">
        <v>1789.0728907922173</v>
      </c>
      <c r="L37" s="81">
        <v>27.237638870789414</v>
      </c>
      <c r="M37" s="17" t="s">
        <v>333</v>
      </c>
      <c r="N37" s="81" t="s">
        <v>333</v>
      </c>
      <c r="O37" s="91">
        <v>17924.156370761346</v>
      </c>
      <c r="P37" s="81">
        <v>8.1215620731887519</v>
      </c>
      <c r="Q37" s="110" t="s">
        <v>333</v>
      </c>
      <c r="R37" s="101" t="s">
        <v>333</v>
      </c>
      <c r="S37" s="110" t="s">
        <v>333</v>
      </c>
      <c r="T37" s="101" t="s">
        <v>333</v>
      </c>
      <c r="U37" s="110" t="s">
        <v>333</v>
      </c>
      <c r="V37" s="101" t="s">
        <v>333</v>
      </c>
    </row>
    <row r="38" spans="1:22" x14ac:dyDescent="0.2">
      <c r="A38" s="69"/>
      <c r="B38" s="39" t="str">
        <f>VLOOKUP("&lt;T2Zeilentitel_6.7&gt;",Uebersetzungen!$B$3:$E$200,Uebersetzungen!$B$2+1,FALSE)</f>
        <v>Qualifizierte manuelle Berufe</v>
      </c>
      <c r="C38" s="91">
        <v>10072.445541539708</v>
      </c>
      <c r="D38" s="81">
        <v>11.593248132360143</v>
      </c>
      <c r="E38" s="91">
        <v>10072.445541539711</v>
      </c>
      <c r="F38" s="81">
        <v>11.59324813236014</v>
      </c>
      <c r="G38" s="91">
        <v>10072.445541539711</v>
      </c>
      <c r="H38" s="81">
        <v>11.59324813236014</v>
      </c>
      <c r="I38" s="17" t="s">
        <v>333</v>
      </c>
      <c r="J38" s="81" t="s">
        <v>333</v>
      </c>
      <c r="K38" s="96">
        <v>1188.4478339278796</v>
      </c>
      <c r="L38" s="84">
        <v>34.358326232426542</v>
      </c>
      <c r="M38" s="17" t="s">
        <v>333</v>
      </c>
      <c r="N38" s="81" t="s">
        <v>333</v>
      </c>
      <c r="O38" s="91">
        <v>8883.9977076118284</v>
      </c>
      <c r="P38" s="81">
        <v>12.395342232051455</v>
      </c>
      <c r="Q38" s="110" t="s">
        <v>333</v>
      </c>
      <c r="R38" s="101" t="s">
        <v>333</v>
      </c>
      <c r="S38" s="110" t="s">
        <v>333</v>
      </c>
      <c r="T38" s="101" t="s">
        <v>333</v>
      </c>
      <c r="U38" s="110" t="s">
        <v>333</v>
      </c>
      <c r="V38" s="101" t="s">
        <v>333</v>
      </c>
    </row>
    <row r="39" spans="1:22" x14ac:dyDescent="0.2">
      <c r="A39" s="69"/>
      <c r="B39" s="39" t="str">
        <f>VLOOKUP("&lt;T2Zeilentitel_6.8&gt;",Uebersetzungen!$B$3:$E$200,Uebersetzungen!$B$2+1,FALSE)</f>
        <v>Ungelernte Angestellte und Arbeiter</v>
      </c>
      <c r="C39" s="91">
        <v>6821.959261072996</v>
      </c>
      <c r="D39" s="81">
        <v>14.072757841029526</v>
      </c>
      <c r="E39" s="91">
        <v>6821.9592610729978</v>
      </c>
      <c r="F39" s="81">
        <v>14.072757841029523</v>
      </c>
      <c r="G39" s="91">
        <v>6821.9592610729978</v>
      </c>
      <c r="H39" s="81">
        <v>14.072757841029523</v>
      </c>
      <c r="I39" s="17" t="s">
        <v>333</v>
      </c>
      <c r="J39" s="81" t="s">
        <v>333</v>
      </c>
      <c r="K39" s="18">
        <v>602.72007463536613</v>
      </c>
      <c r="L39" s="84">
        <v>49.013813360146258</v>
      </c>
      <c r="M39" s="17" t="s">
        <v>333</v>
      </c>
      <c r="N39" s="81" t="s">
        <v>333</v>
      </c>
      <c r="O39" s="91">
        <v>6219.2391864376295</v>
      </c>
      <c r="P39" s="81">
        <v>14.736876522112111</v>
      </c>
      <c r="Q39" s="110" t="s">
        <v>333</v>
      </c>
      <c r="R39" s="101" t="s">
        <v>333</v>
      </c>
      <c r="S39" s="110" t="s">
        <v>333</v>
      </c>
      <c r="T39" s="101" t="s">
        <v>333</v>
      </c>
      <c r="U39" s="110" t="s">
        <v>333</v>
      </c>
      <c r="V39" s="101" t="s">
        <v>333</v>
      </c>
    </row>
    <row r="40" spans="1:22" x14ac:dyDescent="0.2">
      <c r="A40" s="69"/>
      <c r="B40" s="39" t="str">
        <f>VLOOKUP("&lt;T2Zeilentitel_6.9&gt;",Uebersetzungen!$B$3:$E$200,Uebersetzungen!$B$2+1,FALSE)</f>
        <v>Lernende in dualer beruflicher Grundbildung (Lehrlinge)</v>
      </c>
      <c r="C40" s="91">
        <v>2736.194236532895</v>
      </c>
      <c r="D40" s="81">
        <v>22.595748930549551</v>
      </c>
      <c r="E40" s="91">
        <v>2736.194236532895</v>
      </c>
      <c r="F40" s="81">
        <v>22.595748930549551</v>
      </c>
      <c r="G40" s="91">
        <v>2736.194236532895</v>
      </c>
      <c r="H40" s="81">
        <v>22.595748930549551</v>
      </c>
      <c r="I40" s="17" t="s">
        <v>333</v>
      </c>
      <c r="J40" s="81" t="s">
        <v>333</v>
      </c>
      <c r="K40" s="17" t="s">
        <v>333</v>
      </c>
      <c r="L40" s="81" t="s">
        <v>333</v>
      </c>
      <c r="M40" s="17" t="s">
        <v>333</v>
      </c>
      <c r="N40" s="81" t="s">
        <v>333</v>
      </c>
      <c r="O40" s="17" t="s">
        <v>333</v>
      </c>
      <c r="P40" s="81" t="s">
        <v>333</v>
      </c>
      <c r="Q40" s="91">
        <v>2736.194236532895</v>
      </c>
      <c r="R40" s="81">
        <v>22.595748930549551</v>
      </c>
      <c r="S40" s="110" t="s">
        <v>333</v>
      </c>
      <c r="T40" s="101" t="s">
        <v>333</v>
      </c>
      <c r="U40" s="110" t="s">
        <v>333</v>
      </c>
      <c r="V40" s="101" t="s">
        <v>333</v>
      </c>
    </row>
    <row r="41" spans="1:22" ht="25.5" x14ac:dyDescent="0.2">
      <c r="A41" s="69"/>
      <c r="B41" s="39" t="str">
        <f>VLOOKUP("&lt;T2Zeilentitel_6.10&gt;",Uebersetzungen!$B$3:$E$200,Uebersetzungen!$B$2+1,FALSE)</f>
        <v>Nicht zuteilbare Erwerbstätige (fehlende oder unklare Basisdaten oder unplausible Kombination)</v>
      </c>
      <c r="C41" s="96">
        <v>1390.578668762628</v>
      </c>
      <c r="D41" s="84">
        <v>32.063765901593527</v>
      </c>
      <c r="E41" s="96">
        <v>1390.5786687626278</v>
      </c>
      <c r="F41" s="84">
        <v>32.063765901593513</v>
      </c>
      <c r="G41" s="96">
        <v>1390.5786687626278</v>
      </c>
      <c r="H41" s="84">
        <v>32.063765901593513</v>
      </c>
      <c r="I41" s="99" t="s">
        <v>333</v>
      </c>
      <c r="J41" s="81" t="s">
        <v>333</v>
      </c>
      <c r="K41" s="18">
        <v>258.44801607454946</v>
      </c>
      <c r="L41" s="84">
        <v>73.692832526001311</v>
      </c>
      <c r="M41" s="17" t="s">
        <v>333</v>
      </c>
      <c r="N41" s="81" t="s">
        <v>333</v>
      </c>
      <c r="O41" s="96">
        <v>1065.7786736434975</v>
      </c>
      <c r="P41" s="84">
        <v>36.92168363638033</v>
      </c>
      <c r="Q41" s="110" t="s">
        <v>333</v>
      </c>
      <c r="R41" s="101" t="s">
        <v>333</v>
      </c>
      <c r="S41" s="110" t="s">
        <v>333</v>
      </c>
      <c r="T41" s="101" t="s">
        <v>333</v>
      </c>
      <c r="U41" s="110" t="s">
        <v>333</v>
      </c>
      <c r="V41" s="101" t="s">
        <v>333</v>
      </c>
    </row>
    <row r="42" spans="1:22" x14ac:dyDescent="0.2">
      <c r="A42" s="70"/>
      <c r="B42" s="39" t="str">
        <f>VLOOKUP("&lt;T2Zeilentitel_6.11&gt;",Uebersetzungen!$B$3:$E$200,Uebersetzungen!$B$2+1,FALSE)</f>
        <v>Erwerbslose und Nichterwerbspersonen</v>
      </c>
      <c r="C42" s="93">
        <v>67650.862463051366</v>
      </c>
      <c r="D42" s="83">
        <v>3.4588483113999473</v>
      </c>
      <c r="E42" s="93">
        <v>2294.1767169753762</v>
      </c>
      <c r="F42" s="83">
        <v>25.854640307180482</v>
      </c>
      <c r="G42" s="108" t="s">
        <v>333</v>
      </c>
      <c r="H42" s="102" t="s">
        <v>333</v>
      </c>
      <c r="I42" s="108" t="s">
        <v>333</v>
      </c>
      <c r="J42" s="102" t="s">
        <v>333</v>
      </c>
      <c r="K42" s="108" t="s">
        <v>333</v>
      </c>
      <c r="L42" s="102" t="s">
        <v>333</v>
      </c>
      <c r="M42" s="108" t="s">
        <v>333</v>
      </c>
      <c r="N42" s="102" t="s">
        <v>333</v>
      </c>
      <c r="O42" s="108" t="s">
        <v>333</v>
      </c>
      <c r="P42" s="102" t="s">
        <v>333</v>
      </c>
      <c r="Q42" s="108" t="s">
        <v>333</v>
      </c>
      <c r="R42" s="102" t="s">
        <v>333</v>
      </c>
      <c r="S42" s="93">
        <v>2294.1767169753762</v>
      </c>
      <c r="T42" s="83">
        <v>25.854640307180482</v>
      </c>
      <c r="U42" s="93">
        <v>65356.685746075993</v>
      </c>
      <c r="V42" s="83">
        <v>3.5383544715876383</v>
      </c>
    </row>
    <row r="43" spans="1:22" x14ac:dyDescent="0.2">
      <c r="A43" s="69" t="str">
        <f>VLOOKUP("&lt;T2Zeilentitel_7&gt;",Uebersetzungen!$B$3:$E$200,Uebersetzungen!$B$2+1,FALSE)</f>
        <v>Höchste abgeschlossene Ausbildung</v>
      </c>
      <c r="B43" s="41" t="str">
        <f>VLOOKUP("&lt;T2Zeilentitel_7.1&gt;",Uebersetzungen!$B$3:$E$200,Uebersetzungen!$B$2+1,FALSE)</f>
        <v>Obligatorische Schule</v>
      </c>
      <c r="C43" s="91">
        <v>34830.749924816475</v>
      </c>
      <c r="D43" s="81">
        <v>5.6363231755720413</v>
      </c>
      <c r="E43" s="91">
        <v>15386.236171369392</v>
      </c>
      <c r="F43" s="81">
        <v>9.1751839876545631</v>
      </c>
      <c r="G43" s="91">
        <v>14940.423111251996</v>
      </c>
      <c r="H43" s="81">
        <v>9.3084152488574912</v>
      </c>
      <c r="I43" s="18">
        <v>734.46252464212353</v>
      </c>
      <c r="J43" s="84">
        <v>42.324581964795165</v>
      </c>
      <c r="K43" s="18">
        <v>911.86125191391591</v>
      </c>
      <c r="L43" s="84">
        <v>40.015467547456382</v>
      </c>
      <c r="M43" s="18">
        <v>591.76694407391926</v>
      </c>
      <c r="N43" s="84">
        <v>50.411449722770229</v>
      </c>
      <c r="O43" s="91">
        <v>10594.896607821993</v>
      </c>
      <c r="P43" s="81">
        <v>11.181454942373938</v>
      </c>
      <c r="Q43" s="91">
        <v>2107.4357828000461</v>
      </c>
      <c r="R43" s="81">
        <v>25.567247634681884</v>
      </c>
      <c r="S43" s="18">
        <v>445.81306011739423</v>
      </c>
      <c r="T43" s="84">
        <v>58.842662936181995</v>
      </c>
      <c r="U43" s="91">
        <v>19444.513753447081</v>
      </c>
      <c r="V43" s="81">
        <v>7.8145053151092281</v>
      </c>
    </row>
    <row r="44" spans="1:22" x14ac:dyDescent="0.2">
      <c r="A44" s="69"/>
      <c r="B44" s="39" t="str">
        <f>VLOOKUP("&lt;T2Zeilentitel_7.2&gt;",Uebersetzungen!$B$3:$E$200,Uebersetzungen!$B$2+1,FALSE)</f>
        <v>Sekundarstufe II</v>
      </c>
      <c r="C44" s="91">
        <v>80390.820949427231</v>
      </c>
      <c r="D44" s="81">
        <v>3.0161514322530456</v>
      </c>
      <c r="E44" s="91">
        <v>48690.334356099273</v>
      </c>
      <c r="F44" s="81">
        <v>4.5047699806126893</v>
      </c>
      <c r="G44" s="91">
        <v>47629.911792936735</v>
      </c>
      <c r="H44" s="81">
        <v>4.560980325674346</v>
      </c>
      <c r="I44" s="91">
        <v>3837.3838709903926</v>
      </c>
      <c r="J44" s="81">
        <v>18.48626118315385</v>
      </c>
      <c r="K44" s="91">
        <v>3200.6437906244532</v>
      </c>
      <c r="L44" s="81">
        <v>20.375503916601232</v>
      </c>
      <c r="M44" s="91">
        <v>3053.1372425707841</v>
      </c>
      <c r="N44" s="81">
        <v>20.573360778420511</v>
      </c>
      <c r="O44" s="91">
        <v>36942.299484299729</v>
      </c>
      <c r="P44" s="81">
        <v>5.3843958355293831</v>
      </c>
      <c r="Q44" s="18">
        <v>596.44740445132982</v>
      </c>
      <c r="R44" s="84">
        <v>50.310670239415977</v>
      </c>
      <c r="S44" s="96">
        <v>1060.4225631625393</v>
      </c>
      <c r="T44" s="84">
        <v>38.566698061263821</v>
      </c>
      <c r="U44" s="91">
        <v>31700.486593328005</v>
      </c>
      <c r="V44" s="81">
        <v>5.798037537260992</v>
      </c>
    </row>
    <row r="45" spans="1:22" ht="13.5" thickBot="1" x14ac:dyDescent="0.25">
      <c r="A45" s="71"/>
      <c r="B45" s="40" t="str">
        <f>VLOOKUP("&lt;T2Zeilentitel_7.3&gt;",Uebersetzungen!$B$3:$E$200,Uebersetzungen!$B$2+1,FALSE)</f>
        <v>Tertiärstufe</v>
      </c>
      <c r="C45" s="93">
        <v>59389.429125753413</v>
      </c>
      <c r="D45" s="83">
        <v>3.7837661322369609</v>
      </c>
      <c r="E45" s="93">
        <v>45177.743726452682</v>
      </c>
      <c r="F45" s="83">
        <v>4.6110163600604697</v>
      </c>
      <c r="G45" s="93">
        <v>44389.802632757237</v>
      </c>
      <c r="H45" s="79">
        <v>4.6570983910894261</v>
      </c>
      <c r="I45" s="93">
        <v>3793.2306842909356</v>
      </c>
      <c r="J45" s="83">
        <v>18.239446887202206</v>
      </c>
      <c r="K45" s="98">
        <v>1657.0349997364654</v>
      </c>
      <c r="L45" s="85">
        <v>28.593152938793157</v>
      </c>
      <c r="M45" s="93">
        <v>4220.2197996226078</v>
      </c>
      <c r="N45" s="83">
        <v>17.29447205666407</v>
      </c>
      <c r="O45" s="93">
        <v>34687.006099825681</v>
      </c>
      <c r="P45" s="83">
        <v>5.4561697880112439</v>
      </c>
      <c r="Q45" s="109" t="s">
        <v>333</v>
      </c>
      <c r="R45" s="83" t="s">
        <v>333</v>
      </c>
      <c r="S45" s="107">
        <v>787.94109369544253</v>
      </c>
      <c r="T45" s="85">
        <v>43.640266905235443</v>
      </c>
      <c r="U45" s="93">
        <v>14211.685399300761</v>
      </c>
      <c r="V45" s="83">
        <v>9.0960496496653729</v>
      </c>
    </row>
    <row r="46" spans="1:22" x14ac:dyDescent="0.2">
      <c r="A46" s="27"/>
      <c r="B46" s="29"/>
      <c r="C46" s="29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x14ac:dyDescent="0.2">
      <c r="A47" s="15" t="str">
        <f>VLOOKUP("&lt;Legende_1&gt;",Uebersetzungen!$B$3:$E$200,Uebersetzungen!$B$2+1,FALSE)</f>
        <v>(): Extrapolation aufgrund von 49 oder weniger Beobachtungen. Die Resultate sind mit grosser Vorsicht zu interpretieren.</v>
      </c>
      <c r="B47" s="15"/>
      <c r="C47" s="29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x14ac:dyDescent="0.2">
      <c r="A48" s="15" t="str">
        <f>VLOOKUP("&lt;Legende_2&gt;",Uebersetzungen!$B$3:$E$200,Uebersetzungen!$B$2+1,FALSE)</f>
        <v>X: Extrapolation aufgrund von 4 oder weniger Beobachtungen. Die Resultate werden aus Gründen des Datenschutzes nicht publiziert.</v>
      </c>
      <c r="B48" s="15"/>
      <c r="C48" s="2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x14ac:dyDescent="0.2">
      <c r="A49" s="15" t="str">
        <f>VLOOKUP("&lt;Legende_3&gt;",Uebersetzungen!$B$3:$E$200,Uebersetzungen!$B$2+1,FALSE)</f>
        <v>Die Grundgesamtheit der Strukturerhebung enthält alle Personen der ständigen Wohnbevölkerung ab vollendetem 15. Altersjahr, die in Privathaushalten leben.</v>
      </c>
      <c r="B49" s="15"/>
      <c r="C49" s="2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x14ac:dyDescent="0.2">
      <c r="A50" s="15" t="str">
        <f>VLOOKUP("&lt;Legende_4&gt;",Uebersetzungen!$B$3:$E$200,Uebersetzungen!$B$2+1,FALSE)</f>
        <v>Aus der Grundgesamtheit ausgeschlossen wurden neben den Personen, die in Kollektivhaushalten leben, auch Diplomaten, internationale Funktionäre und deren Angehörige.</v>
      </c>
      <c r="B50" s="15"/>
      <c r="C50" s="29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x14ac:dyDescent="0.2">
      <c r="A51" s="1"/>
      <c r="B51" s="15"/>
      <c r="C51" s="29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x14ac:dyDescent="0.2">
      <c r="A52" s="1" t="str">
        <f>VLOOKUP("&lt;quelle_1&gt;",Uebersetzungen!$B$3:$E$200,Uebersetzungen!$B$2+1,FALSE)</f>
        <v>Quelle: BFS (Strukturerhebung)</v>
      </c>
      <c r="B52" s="15"/>
      <c r="C52" s="29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x14ac:dyDescent="0.2">
      <c r="A53" s="1" t="str">
        <f>VLOOKUP("&lt;aktualisierung&gt;",Uebersetzungen!$B$3:$E$200,Uebersetzungen!$B$2+1,FALSE)</f>
        <v>Letztmals aktualisiert am: 27.01.2024</v>
      </c>
      <c r="B53" s="15"/>
      <c r="C53" s="29"/>
    </row>
    <row r="54" spans="1:22" x14ac:dyDescent="0.2">
      <c r="A54" s="20"/>
      <c r="B54" s="15"/>
      <c r="C54" s="29"/>
    </row>
    <row r="55" spans="1:22" x14ac:dyDescent="0.2">
      <c r="A55" s="20"/>
      <c r="B55" s="29"/>
      <c r="C55" s="29"/>
    </row>
    <row r="56" spans="1:22" x14ac:dyDescent="0.2">
      <c r="A56" s="20"/>
    </row>
  </sheetData>
  <sheetProtection sheet="1" objects="1" scenarios="1"/>
  <mergeCells count="19">
    <mergeCell ref="A7:B7"/>
    <mergeCell ref="C12:V12"/>
    <mergeCell ref="C13:D13"/>
    <mergeCell ref="A15:B15"/>
    <mergeCell ref="A16:A17"/>
    <mergeCell ref="K13:L13"/>
    <mergeCell ref="M13:N13"/>
    <mergeCell ref="O13:P13"/>
    <mergeCell ref="Q13:R13"/>
    <mergeCell ref="S13:T13"/>
    <mergeCell ref="U13:V13"/>
    <mergeCell ref="E13:F13"/>
    <mergeCell ref="G13:H13"/>
    <mergeCell ref="I13:J13"/>
    <mergeCell ref="A18:A21"/>
    <mergeCell ref="A22:A26"/>
    <mergeCell ref="A27:A31"/>
    <mergeCell ref="A32:A42"/>
    <mergeCell ref="A43:A45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3" name="Option Button 7">
              <controlPr defaultSize="0" autoFill="0" autoLine="0" autoPict="0">
                <anchor moveWithCells="1">
                  <from>
                    <xdr:col>2</xdr:col>
                    <xdr:colOff>523875</xdr:colOff>
                    <xdr:row>1</xdr:row>
                    <xdr:rowOff>123825</xdr:rowOff>
                  </from>
                  <to>
                    <xdr:col>4</xdr:col>
                    <xdr:colOff>114300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4" name="Option Button 8">
              <controlPr defaultSize="0" autoFill="0" autoLine="0" autoPict="0">
                <anchor moveWithCells="1">
                  <from>
                    <xdr:col>2</xdr:col>
                    <xdr:colOff>523875</xdr:colOff>
                    <xdr:row>2</xdr:row>
                    <xdr:rowOff>114300</xdr:rowOff>
                  </from>
                  <to>
                    <xdr:col>4</xdr:col>
                    <xdr:colOff>542925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Option Button 9">
              <controlPr defaultSize="0" autoFill="0" autoLine="0" autoPict="0">
                <anchor moveWithCells="1">
                  <from>
                    <xdr:col>2</xdr:col>
                    <xdr:colOff>523875</xdr:colOff>
                    <xdr:row>3</xdr:row>
                    <xdr:rowOff>85725</xdr:rowOff>
                  </from>
                  <to>
                    <xdr:col>4</xdr:col>
                    <xdr:colOff>114300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E115" sqref="E115"/>
    </sheetView>
  </sheetViews>
  <sheetFormatPr baseColWidth="10" defaultColWidth="12.5703125" defaultRowHeight="12.75" x14ac:dyDescent="0.2"/>
  <cols>
    <col min="1" max="1" width="9.85546875" style="45" customWidth="1"/>
    <col min="2" max="2" width="30" style="45" customWidth="1"/>
    <col min="3" max="3" width="78.5703125" style="49" customWidth="1"/>
    <col min="4" max="5" width="53.42578125" style="49" customWidth="1"/>
    <col min="6" max="6" width="22.42578125" style="45" customWidth="1"/>
    <col min="7" max="8" width="12.5703125" style="45"/>
    <col min="9" max="9" width="37.7109375" style="45" customWidth="1"/>
    <col min="10" max="16384" width="12.5703125" style="45"/>
  </cols>
  <sheetData>
    <row r="1" spans="1:6" x14ac:dyDescent="0.2">
      <c r="A1" s="42" t="s">
        <v>1</v>
      </c>
      <c r="B1" s="42" t="s">
        <v>2</v>
      </c>
      <c r="C1" s="43" t="s">
        <v>3</v>
      </c>
      <c r="D1" s="43" t="s">
        <v>4</v>
      </c>
      <c r="E1" s="43" t="s">
        <v>5</v>
      </c>
      <c r="F1" s="44"/>
    </row>
    <row r="2" spans="1:6" ht="12.75" customHeight="1" x14ac:dyDescent="0.2">
      <c r="A2" s="46" t="s">
        <v>6</v>
      </c>
      <c r="B2" s="47">
        <v>1</v>
      </c>
      <c r="C2" s="48"/>
      <c r="D2" s="48"/>
      <c r="E2" s="48"/>
      <c r="F2" s="44"/>
    </row>
    <row r="3" spans="1:6" ht="12.75" customHeight="1" x14ac:dyDescent="0.2">
      <c r="A3" s="46"/>
      <c r="B3" s="45" t="s">
        <v>7</v>
      </c>
      <c r="C3" s="49" t="s">
        <v>8</v>
      </c>
      <c r="D3" s="49" t="s">
        <v>9</v>
      </c>
      <c r="E3" s="49" t="s">
        <v>10</v>
      </c>
      <c r="F3" s="44"/>
    </row>
    <row r="4" spans="1:6" ht="12.75" customHeight="1" x14ac:dyDescent="0.2">
      <c r="A4" s="46" t="s">
        <v>11</v>
      </c>
      <c r="B4" s="45" t="s">
        <v>12</v>
      </c>
      <c r="C4" s="49" t="s">
        <v>276</v>
      </c>
      <c r="D4" s="49" t="s">
        <v>325</v>
      </c>
      <c r="E4" s="49" t="s">
        <v>279</v>
      </c>
      <c r="F4" s="44"/>
    </row>
    <row r="5" spans="1:6" ht="12.75" customHeight="1" x14ac:dyDescent="0.2">
      <c r="A5" s="46"/>
      <c r="B5" s="45" t="s">
        <v>13</v>
      </c>
      <c r="C5" s="49" t="s">
        <v>14</v>
      </c>
      <c r="D5" s="49" t="s">
        <v>15</v>
      </c>
      <c r="E5" s="49" t="s">
        <v>16</v>
      </c>
      <c r="F5" s="44"/>
    </row>
    <row r="6" spans="1:6" ht="12.75" customHeight="1" x14ac:dyDescent="0.2">
      <c r="A6" s="46" t="s">
        <v>11</v>
      </c>
      <c r="B6" s="45" t="s">
        <v>17</v>
      </c>
      <c r="C6" s="49" t="s">
        <v>18</v>
      </c>
      <c r="D6" s="49" t="s">
        <v>18</v>
      </c>
      <c r="E6" s="49" t="s">
        <v>19</v>
      </c>
      <c r="F6" s="44"/>
    </row>
    <row r="7" spans="1:6" ht="12.75" customHeight="1" x14ac:dyDescent="0.2">
      <c r="A7" s="46"/>
      <c r="B7" s="45" t="s">
        <v>20</v>
      </c>
      <c r="C7" s="49" t="s">
        <v>21</v>
      </c>
      <c r="D7" s="49" t="s">
        <v>280</v>
      </c>
      <c r="E7" s="49" t="s">
        <v>285</v>
      </c>
      <c r="F7" s="44"/>
    </row>
    <row r="8" spans="1:6" ht="12.75" customHeight="1" x14ac:dyDescent="0.2">
      <c r="A8" s="46"/>
      <c r="B8" s="45" t="s">
        <v>22</v>
      </c>
      <c r="C8" s="49" t="s">
        <v>23</v>
      </c>
      <c r="D8" s="49" t="s">
        <v>281</v>
      </c>
      <c r="E8" s="49" t="s">
        <v>286</v>
      </c>
      <c r="F8" s="44"/>
    </row>
    <row r="9" spans="1:6" ht="12.75" customHeight="1" x14ac:dyDescent="0.2">
      <c r="A9" s="46"/>
      <c r="B9" s="45" t="s">
        <v>24</v>
      </c>
      <c r="C9" s="49" t="s">
        <v>25</v>
      </c>
      <c r="D9" s="49" t="s">
        <v>282</v>
      </c>
      <c r="E9" s="49" t="s">
        <v>287</v>
      </c>
      <c r="F9" s="44"/>
    </row>
    <row r="10" spans="1:6" ht="12.75" customHeight="1" x14ac:dyDescent="0.2">
      <c r="A10" s="46"/>
      <c r="B10" s="45" t="s">
        <v>26</v>
      </c>
      <c r="C10" s="49" t="s">
        <v>27</v>
      </c>
      <c r="D10" s="49" t="s">
        <v>28</v>
      </c>
      <c r="E10" s="49" t="s">
        <v>288</v>
      </c>
      <c r="F10" s="44"/>
    </row>
    <row r="11" spans="1:6" ht="12.75" customHeight="1" x14ac:dyDescent="0.2">
      <c r="A11" s="46"/>
      <c r="B11" s="45" t="s">
        <v>29</v>
      </c>
      <c r="C11" s="49" t="s">
        <v>30</v>
      </c>
      <c r="D11" s="49" t="s">
        <v>31</v>
      </c>
      <c r="E11" s="49" t="s">
        <v>289</v>
      </c>
      <c r="F11" s="44"/>
    </row>
    <row r="12" spans="1:6" ht="12.75" customHeight="1" x14ac:dyDescent="0.2">
      <c r="A12" s="46"/>
      <c r="B12" s="45" t="s">
        <v>32</v>
      </c>
      <c r="C12" s="49" t="s">
        <v>33</v>
      </c>
      <c r="D12" s="49" t="s">
        <v>283</v>
      </c>
      <c r="E12" s="49" t="s">
        <v>290</v>
      </c>
      <c r="F12" s="44"/>
    </row>
    <row r="13" spans="1:6" ht="12.75" customHeight="1" x14ac:dyDescent="0.2">
      <c r="A13" s="46"/>
      <c r="B13" s="45" t="s">
        <v>34</v>
      </c>
      <c r="C13" s="49" t="s">
        <v>35</v>
      </c>
      <c r="D13" s="49" t="s">
        <v>36</v>
      </c>
      <c r="E13" s="49" t="s">
        <v>291</v>
      </c>
      <c r="F13" s="44"/>
    </row>
    <row r="14" spans="1:6" ht="12.75" customHeight="1" x14ac:dyDescent="0.2">
      <c r="A14" s="46"/>
      <c r="B14" s="45" t="s">
        <v>37</v>
      </c>
      <c r="C14" s="49" t="s">
        <v>38</v>
      </c>
      <c r="D14" s="49" t="s">
        <v>284</v>
      </c>
      <c r="E14" s="49" t="s">
        <v>292</v>
      </c>
      <c r="F14" s="44"/>
    </row>
    <row r="15" spans="1:6" ht="12.75" customHeight="1" x14ac:dyDescent="0.2">
      <c r="A15" s="46"/>
      <c r="B15" s="45" t="s">
        <v>39</v>
      </c>
      <c r="C15" s="49" t="s">
        <v>40</v>
      </c>
      <c r="D15" s="49" t="s">
        <v>284</v>
      </c>
      <c r="E15" s="49" t="s">
        <v>293</v>
      </c>
      <c r="F15" s="44"/>
    </row>
    <row r="16" spans="1:6" ht="12.75" customHeight="1" x14ac:dyDescent="0.2">
      <c r="A16" s="46"/>
      <c r="B16" s="44"/>
      <c r="C16" s="50"/>
      <c r="D16" s="50"/>
      <c r="E16" s="50"/>
      <c r="F16" s="44"/>
    </row>
    <row r="17" spans="1:6" ht="12.75" customHeight="1" x14ac:dyDescent="0.2">
      <c r="A17" s="46"/>
      <c r="B17" s="45" t="s">
        <v>41</v>
      </c>
      <c r="C17" s="49" t="s">
        <v>0</v>
      </c>
      <c r="D17" s="49" t="s">
        <v>42</v>
      </c>
      <c r="E17" s="49" t="s">
        <v>43</v>
      </c>
      <c r="F17" s="44"/>
    </row>
    <row r="18" spans="1:6" ht="12.75" customHeight="1" x14ac:dyDescent="0.2">
      <c r="A18" s="46"/>
      <c r="B18" s="45" t="s">
        <v>44</v>
      </c>
      <c r="C18" s="49" t="s">
        <v>45</v>
      </c>
      <c r="D18" s="49" t="s">
        <v>46</v>
      </c>
      <c r="E18" s="49" t="s">
        <v>47</v>
      </c>
      <c r="F18" s="44"/>
    </row>
    <row r="19" spans="1:6" ht="12.75" customHeight="1" x14ac:dyDescent="0.2">
      <c r="A19" s="46"/>
      <c r="B19" s="44"/>
      <c r="C19" s="50"/>
      <c r="D19" s="50"/>
      <c r="E19" s="50"/>
      <c r="F19" s="44"/>
    </row>
    <row r="20" spans="1:6" ht="12.75" customHeight="1" x14ac:dyDescent="0.2">
      <c r="A20" s="46" t="s">
        <v>48</v>
      </c>
      <c r="B20" s="45" t="s">
        <v>49</v>
      </c>
      <c r="C20" s="49" t="s">
        <v>18</v>
      </c>
      <c r="D20" s="49" t="s">
        <v>18</v>
      </c>
      <c r="E20" s="49" t="s">
        <v>19</v>
      </c>
      <c r="F20" s="44"/>
    </row>
    <row r="21" spans="1:6" ht="12.75" customHeight="1" x14ac:dyDescent="0.2">
      <c r="A21" s="44"/>
      <c r="B21" s="45" t="s">
        <v>50</v>
      </c>
      <c r="C21" s="49" t="s">
        <v>51</v>
      </c>
      <c r="D21" s="49" t="s">
        <v>52</v>
      </c>
      <c r="E21" s="49" t="s">
        <v>53</v>
      </c>
      <c r="F21" s="44"/>
    </row>
    <row r="22" spans="1:6" ht="12.75" customHeight="1" x14ac:dyDescent="0.2">
      <c r="A22" s="46"/>
      <c r="B22" s="44"/>
      <c r="C22" s="50"/>
      <c r="D22" s="50"/>
      <c r="E22" s="50"/>
      <c r="F22" s="44"/>
    </row>
    <row r="23" spans="1:6" ht="12.75" customHeight="1" x14ac:dyDescent="0.2">
      <c r="A23" s="44"/>
      <c r="B23" s="45" t="s">
        <v>54</v>
      </c>
      <c r="C23" s="51" t="s">
        <v>55</v>
      </c>
      <c r="D23" s="52" t="s">
        <v>56</v>
      </c>
      <c r="E23" s="52" t="s">
        <v>57</v>
      </c>
      <c r="F23" s="44"/>
    </row>
    <row r="24" spans="1:6" ht="12.75" customHeight="1" x14ac:dyDescent="0.2">
      <c r="A24" s="44"/>
      <c r="B24" s="45" t="s">
        <v>58</v>
      </c>
      <c r="C24" s="51" t="s">
        <v>59</v>
      </c>
      <c r="D24" s="52" t="s">
        <v>60</v>
      </c>
      <c r="E24" s="52" t="s">
        <v>60</v>
      </c>
      <c r="F24" s="44"/>
    </row>
    <row r="25" spans="1:6" x14ac:dyDescent="0.2">
      <c r="A25" s="44"/>
      <c r="B25" s="45" t="s">
        <v>61</v>
      </c>
      <c r="C25" s="51" t="s">
        <v>62</v>
      </c>
      <c r="D25" s="52" t="s">
        <v>63</v>
      </c>
      <c r="E25" s="52" t="s">
        <v>63</v>
      </c>
      <c r="F25" s="44"/>
    </row>
    <row r="26" spans="1:6" x14ac:dyDescent="0.2">
      <c r="A26" s="44"/>
      <c r="B26" s="45" t="s">
        <v>64</v>
      </c>
      <c r="C26" s="51" t="s">
        <v>65</v>
      </c>
      <c r="D26" s="52" t="s">
        <v>65</v>
      </c>
      <c r="E26" s="52" t="s">
        <v>65</v>
      </c>
      <c r="F26" s="44"/>
    </row>
    <row r="27" spans="1:6" x14ac:dyDescent="0.2">
      <c r="A27" s="44"/>
      <c r="B27" s="45" t="s">
        <v>66</v>
      </c>
      <c r="C27" s="51" t="s">
        <v>67</v>
      </c>
      <c r="D27" s="52" t="s">
        <v>68</v>
      </c>
      <c r="E27" s="52" t="s">
        <v>69</v>
      </c>
      <c r="F27" s="44"/>
    </row>
    <row r="28" spans="1:6" x14ac:dyDescent="0.2">
      <c r="A28" s="44"/>
      <c r="B28" s="45" t="s">
        <v>70</v>
      </c>
      <c r="C28" s="51" t="s">
        <v>71</v>
      </c>
      <c r="D28" s="52" t="s">
        <v>72</v>
      </c>
      <c r="E28" s="52" t="s">
        <v>73</v>
      </c>
      <c r="F28" s="44"/>
    </row>
    <row r="29" spans="1:6" x14ac:dyDescent="0.2">
      <c r="A29" s="44"/>
      <c r="B29" s="45" t="s">
        <v>74</v>
      </c>
      <c r="C29" s="51" t="s">
        <v>75</v>
      </c>
      <c r="D29" s="52" t="s">
        <v>76</v>
      </c>
      <c r="E29" s="52" t="s">
        <v>77</v>
      </c>
      <c r="F29" s="44"/>
    </row>
    <row r="30" spans="1:6" x14ac:dyDescent="0.2">
      <c r="A30" s="44"/>
      <c r="B30" s="45" t="s">
        <v>78</v>
      </c>
      <c r="C30" s="51" t="s">
        <v>79</v>
      </c>
      <c r="D30" s="52" t="s">
        <v>80</v>
      </c>
      <c r="E30" s="52" t="s">
        <v>81</v>
      </c>
      <c r="F30" s="44"/>
    </row>
    <row r="31" spans="1:6" x14ac:dyDescent="0.2">
      <c r="A31" s="44"/>
      <c r="B31" s="45" t="s">
        <v>82</v>
      </c>
      <c r="C31" s="51" t="s">
        <v>83</v>
      </c>
      <c r="D31" s="52" t="s">
        <v>83</v>
      </c>
      <c r="E31" s="52" t="s">
        <v>84</v>
      </c>
      <c r="F31" s="44"/>
    </row>
    <row r="32" spans="1:6" x14ac:dyDescent="0.2">
      <c r="A32" s="44"/>
      <c r="B32" s="45" t="s">
        <v>85</v>
      </c>
      <c r="C32" s="51" t="s">
        <v>86</v>
      </c>
      <c r="D32" s="52" t="s">
        <v>87</v>
      </c>
      <c r="E32" s="52" t="s">
        <v>88</v>
      </c>
      <c r="F32" s="44"/>
    </row>
    <row r="33" spans="1:6" x14ac:dyDescent="0.2">
      <c r="A33" s="44"/>
      <c r="B33" s="45" t="s">
        <v>89</v>
      </c>
      <c r="C33" s="51" t="s">
        <v>90</v>
      </c>
      <c r="D33" s="52" t="s">
        <v>91</v>
      </c>
      <c r="E33" s="52" t="s">
        <v>92</v>
      </c>
      <c r="F33" s="44"/>
    </row>
    <row r="34" spans="1:6" x14ac:dyDescent="0.2">
      <c r="A34" s="44"/>
      <c r="B34" s="45" t="s">
        <v>93</v>
      </c>
      <c r="C34" s="51" t="s">
        <v>94</v>
      </c>
      <c r="D34" s="52" t="s">
        <v>95</v>
      </c>
      <c r="E34" s="52" t="s">
        <v>96</v>
      </c>
      <c r="F34" s="44"/>
    </row>
    <row r="35" spans="1:6" x14ac:dyDescent="0.2">
      <c r="A35" s="44"/>
      <c r="B35" s="45" t="s">
        <v>97</v>
      </c>
      <c r="C35" s="51" t="s">
        <v>98</v>
      </c>
      <c r="D35" s="52" t="s">
        <v>99</v>
      </c>
      <c r="E35" s="52" t="s">
        <v>100</v>
      </c>
      <c r="F35" s="44"/>
    </row>
    <row r="36" spans="1:6" x14ac:dyDescent="0.2">
      <c r="A36" s="44"/>
      <c r="B36" s="45" t="s">
        <v>101</v>
      </c>
      <c r="C36" s="51" t="s">
        <v>102</v>
      </c>
      <c r="D36" s="52" t="s">
        <v>103</v>
      </c>
      <c r="E36" s="52" t="s">
        <v>104</v>
      </c>
      <c r="F36" s="44"/>
    </row>
    <row r="37" spans="1:6" x14ac:dyDescent="0.2">
      <c r="A37" s="44"/>
      <c r="B37" s="45" t="s">
        <v>105</v>
      </c>
      <c r="C37" s="51" t="s">
        <v>106</v>
      </c>
      <c r="D37" s="52" t="s">
        <v>107</v>
      </c>
      <c r="E37" s="52" t="s">
        <v>108</v>
      </c>
      <c r="F37" s="44"/>
    </row>
    <row r="38" spans="1:6" x14ac:dyDescent="0.2">
      <c r="A38" s="44"/>
      <c r="B38" s="45" t="s">
        <v>109</v>
      </c>
      <c r="C38" s="51" t="s">
        <v>110</v>
      </c>
      <c r="D38" s="52" t="s">
        <v>111</v>
      </c>
      <c r="E38" s="52" t="s">
        <v>112</v>
      </c>
      <c r="F38" s="44"/>
    </row>
    <row r="39" spans="1:6" x14ac:dyDescent="0.2">
      <c r="A39" s="44"/>
      <c r="B39" s="45" t="s">
        <v>113</v>
      </c>
      <c r="C39" s="51" t="s">
        <v>114</v>
      </c>
      <c r="D39" s="52" t="s">
        <v>115</v>
      </c>
      <c r="E39" s="52" t="s">
        <v>116</v>
      </c>
      <c r="F39" s="44"/>
    </row>
    <row r="40" spans="1:6" x14ac:dyDescent="0.2">
      <c r="A40" s="44"/>
      <c r="B40" s="45" t="s">
        <v>117</v>
      </c>
      <c r="C40" s="51" t="s">
        <v>118</v>
      </c>
      <c r="D40" s="52" t="s">
        <v>119</v>
      </c>
      <c r="E40" s="52" t="s">
        <v>120</v>
      </c>
      <c r="F40" s="44"/>
    </row>
    <row r="41" spans="1:6" x14ac:dyDescent="0.2">
      <c r="A41" s="44"/>
      <c r="B41" s="45" t="s">
        <v>121</v>
      </c>
      <c r="C41" s="51" t="s">
        <v>122</v>
      </c>
      <c r="D41" s="52" t="s">
        <v>123</v>
      </c>
      <c r="E41" s="52" t="s">
        <v>123</v>
      </c>
      <c r="F41" s="44"/>
    </row>
    <row r="42" spans="1:6" x14ac:dyDescent="0.2">
      <c r="A42" s="44"/>
      <c r="B42" s="45" t="s">
        <v>124</v>
      </c>
      <c r="C42" s="51" t="s">
        <v>125</v>
      </c>
      <c r="D42" s="52" t="s">
        <v>126</v>
      </c>
      <c r="E42" s="52" t="s">
        <v>126</v>
      </c>
      <c r="F42" s="44"/>
    </row>
    <row r="43" spans="1:6" x14ac:dyDescent="0.2">
      <c r="A43" s="44"/>
      <c r="B43" s="45" t="s">
        <v>127</v>
      </c>
      <c r="C43" s="51" t="s">
        <v>128</v>
      </c>
      <c r="D43" s="52" t="s">
        <v>129</v>
      </c>
      <c r="E43" s="52" t="s">
        <v>128</v>
      </c>
      <c r="F43" s="44"/>
    </row>
    <row r="44" spans="1:6" x14ac:dyDescent="0.2">
      <c r="A44" s="44"/>
      <c r="B44" s="45" t="s">
        <v>130</v>
      </c>
      <c r="C44" s="51" t="s">
        <v>131</v>
      </c>
      <c r="D44" s="52" t="s">
        <v>132</v>
      </c>
      <c r="E44" s="52" t="s">
        <v>131</v>
      </c>
      <c r="F44" s="44"/>
    </row>
    <row r="45" spans="1:6" x14ac:dyDescent="0.2">
      <c r="A45" s="44"/>
      <c r="B45" s="45" t="s">
        <v>133</v>
      </c>
      <c r="C45" s="51" t="s">
        <v>134</v>
      </c>
      <c r="D45" s="52" t="s">
        <v>135</v>
      </c>
      <c r="E45" s="52" t="s">
        <v>136</v>
      </c>
      <c r="F45" s="44"/>
    </row>
    <row r="46" spans="1:6" x14ac:dyDescent="0.2">
      <c r="A46" s="44"/>
      <c r="B46" s="45" t="s">
        <v>137</v>
      </c>
      <c r="C46" s="51" t="s">
        <v>138</v>
      </c>
      <c r="D46" s="52" t="s">
        <v>138</v>
      </c>
      <c r="E46" s="52" t="s">
        <v>138</v>
      </c>
      <c r="F46" s="44"/>
    </row>
    <row r="47" spans="1:6" x14ac:dyDescent="0.2">
      <c r="A47" s="44"/>
      <c r="B47" s="45" t="s">
        <v>139</v>
      </c>
      <c r="C47" s="51" t="s">
        <v>140</v>
      </c>
      <c r="D47" s="52" t="s">
        <v>141</v>
      </c>
      <c r="E47" s="52" t="s">
        <v>142</v>
      </c>
      <c r="F47" s="44"/>
    </row>
    <row r="48" spans="1:6" x14ac:dyDescent="0.2">
      <c r="A48" s="44"/>
      <c r="B48" s="45" t="s">
        <v>143</v>
      </c>
      <c r="C48" s="51" t="s">
        <v>144</v>
      </c>
      <c r="D48" s="52" t="s">
        <v>145</v>
      </c>
      <c r="E48" s="52" t="s">
        <v>145</v>
      </c>
      <c r="F48" s="44"/>
    </row>
    <row r="49" spans="1:6" x14ac:dyDescent="0.2">
      <c r="A49" s="44"/>
      <c r="B49" s="44"/>
      <c r="C49" s="50"/>
      <c r="D49" s="50"/>
      <c r="E49" s="50"/>
      <c r="F49" s="44"/>
    </row>
    <row r="50" spans="1:6" ht="25.5" x14ac:dyDescent="0.2">
      <c r="A50" s="46" t="s">
        <v>11</v>
      </c>
      <c r="B50" s="45" t="s">
        <v>146</v>
      </c>
      <c r="C50" s="49" t="s">
        <v>147</v>
      </c>
      <c r="D50" s="49" t="s">
        <v>148</v>
      </c>
      <c r="E50" s="49" t="s">
        <v>149</v>
      </c>
      <c r="F50" s="50"/>
    </row>
    <row r="51" spans="1:6" ht="38.25" x14ac:dyDescent="0.2">
      <c r="A51" s="44"/>
      <c r="B51" s="45" t="s">
        <v>150</v>
      </c>
      <c r="C51" s="49" t="s">
        <v>151</v>
      </c>
      <c r="D51" s="49" t="s">
        <v>152</v>
      </c>
      <c r="E51" s="49" t="s">
        <v>153</v>
      </c>
      <c r="F51" s="50"/>
    </row>
    <row r="52" spans="1:6" ht="51" x14ac:dyDescent="0.2">
      <c r="A52" s="44"/>
      <c r="B52" s="45" t="s">
        <v>154</v>
      </c>
      <c r="C52" s="49" t="s">
        <v>155</v>
      </c>
      <c r="D52" s="49" t="s">
        <v>156</v>
      </c>
      <c r="E52" s="49" t="s">
        <v>157</v>
      </c>
      <c r="F52" s="50"/>
    </row>
    <row r="53" spans="1:6" ht="38.25" x14ac:dyDescent="0.2">
      <c r="A53" s="44"/>
      <c r="B53" s="45" t="s">
        <v>158</v>
      </c>
      <c r="C53" s="49" t="s">
        <v>159</v>
      </c>
      <c r="D53" s="49" t="s">
        <v>160</v>
      </c>
      <c r="E53" s="49" t="s">
        <v>161</v>
      </c>
      <c r="F53" s="50"/>
    </row>
    <row r="54" spans="1:6" x14ac:dyDescent="0.2">
      <c r="A54" s="44"/>
      <c r="B54" s="45" t="s">
        <v>162</v>
      </c>
      <c r="F54" s="50"/>
    </row>
    <row r="55" spans="1:6" x14ac:dyDescent="0.2">
      <c r="A55" s="44"/>
      <c r="B55" s="44"/>
      <c r="C55" s="50"/>
      <c r="D55" s="50"/>
      <c r="E55" s="50"/>
      <c r="F55" s="44"/>
    </row>
    <row r="56" spans="1:6" x14ac:dyDescent="0.2">
      <c r="A56" s="44"/>
      <c r="B56" s="45" t="s">
        <v>163</v>
      </c>
      <c r="C56" s="49" t="s">
        <v>164</v>
      </c>
      <c r="D56" s="49" t="s">
        <v>165</v>
      </c>
      <c r="E56" s="49" t="s">
        <v>166</v>
      </c>
      <c r="F56" s="44"/>
    </row>
    <row r="57" spans="1:6" x14ac:dyDescent="0.2">
      <c r="A57" s="44" t="s">
        <v>48</v>
      </c>
      <c r="B57" s="53" t="s">
        <v>167</v>
      </c>
      <c r="C57" s="54" t="s">
        <v>328</v>
      </c>
      <c r="D57" s="54" t="s">
        <v>329</v>
      </c>
      <c r="E57" s="54" t="s">
        <v>330</v>
      </c>
      <c r="F57" s="44"/>
    </row>
    <row r="58" spans="1:6" x14ac:dyDescent="0.2">
      <c r="A58" s="44"/>
      <c r="B58" s="44"/>
      <c r="C58" s="50"/>
      <c r="D58" s="50"/>
      <c r="E58" s="50"/>
      <c r="F58" s="44"/>
    </row>
    <row r="59" spans="1:6" x14ac:dyDescent="0.2">
      <c r="A59" s="46"/>
      <c r="B59" s="47"/>
      <c r="C59" s="48"/>
      <c r="D59" s="48"/>
      <c r="E59" s="48"/>
      <c r="F59" s="44"/>
    </row>
    <row r="60" spans="1:6" x14ac:dyDescent="0.2">
      <c r="A60" s="44" t="s">
        <v>168</v>
      </c>
      <c r="B60" s="45" t="s">
        <v>278</v>
      </c>
      <c r="C60" s="49" t="s">
        <v>277</v>
      </c>
      <c r="D60" s="49" t="s">
        <v>326</v>
      </c>
      <c r="E60" s="49" t="s">
        <v>327</v>
      </c>
      <c r="F60" s="44"/>
    </row>
    <row r="61" spans="1:6" x14ac:dyDescent="0.2">
      <c r="A61" s="46"/>
      <c r="B61" s="47"/>
      <c r="C61" s="48"/>
      <c r="D61" s="48"/>
      <c r="E61" s="48"/>
      <c r="F61" s="44"/>
    </row>
    <row r="62" spans="1:6" x14ac:dyDescent="0.2">
      <c r="A62" s="46" t="s">
        <v>168</v>
      </c>
      <c r="B62" s="45" t="s">
        <v>169</v>
      </c>
      <c r="C62" s="49" t="s">
        <v>18</v>
      </c>
      <c r="D62" s="49" t="s">
        <v>18</v>
      </c>
      <c r="E62" s="49" t="s">
        <v>19</v>
      </c>
      <c r="F62" s="44"/>
    </row>
    <row r="63" spans="1:6" x14ac:dyDescent="0.2">
      <c r="A63" s="44"/>
      <c r="B63" s="45" t="s">
        <v>170</v>
      </c>
      <c r="C63" s="49" t="s">
        <v>171</v>
      </c>
      <c r="D63" s="49" t="s">
        <v>172</v>
      </c>
      <c r="E63" s="49" t="s">
        <v>173</v>
      </c>
      <c r="F63" s="44"/>
    </row>
    <row r="64" spans="1:6" x14ac:dyDescent="0.2">
      <c r="A64" s="44"/>
      <c r="B64" s="45" t="s">
        <v>174</v>
      </c>
      <c r="C64" s="49" t="s">
        <v>175</v>
      </c>
      <c r="D64" s="55" t="s">
        <v>176</v>
      </c>
      <c r="E64" s="49" t="s">
        <v>177</v>
      </c>
      <c r="F64" s="44"/>
    </row>
    <row r="65" spans="1:6" x14ac:dyDescent="0.2">
      <c r="A65" s="44"/>
      <c r="B65" s="45" t="s">
        <v>178</v>
      </c>
      <c r="C65" s="49" t="s">
        <v>179</v>
      </c>
      <c r="D65" s="49" t="s">
        <v>180</v>
      </c>
      <c r="E65" s="49" t="s">
        <v>294</v>
      </c>
      <c r="F65" s="44"/>
    </row>
    <row r="66" spans="1:6" x14ac:dyDescent="0.2">
      <c r="A66" s="44"/>
      <c r="B66" s="45" t="s">
        <v>181</v>
      </c>
      <c r="C66" s="49" t="s">
        <v>182</v>
      </c>
      <c r="D66" s="49" t="s">
        <v>183</v>
      </c>
      <c r="E66" s="49" t="s">
        <v>295</v>
      </c>
      <c r="F66" s="44"/>
    </row>
    <row r="67" spans="1:6" x14ac:dyDescent="0.2">
      <c r="A67" s="44"/>
      <c r="B67" s="45" t="s">
        <v>184</v>
      </c>
      <c r="C67" s="49" t="s">
        <v>185</v>
      </c>
      <c r="D67" s="49" t="s">
        <v>186</v>
      </c>
      <c r="E67" s="49" t="s">
        <v>296</v>
      </c>
      <c r="F67" s="44"/>
    </row>
    <row r="68" spans="1:6" x14ac:dyDescent="0.2">
      <c r="A68" s="44"/>
      <c r="B68" s="45" t="s">
        <v>187</v>
      </c>
      <c r="C68" s="49" t="s">
        <v>188</v>
      </c>
      <c r="D68" s="49" t="s">
        <v>189</v>
      </c>
      <c r="E68" s="49" t="s">
        <v>297</v>
      </c>
      <c r="F68" s="44"/>
    </row>
    <row r="69" spans="1:6" x14ac:dyDescent="0.2">
      <c r="A69" s="46"/>
      <c r="B69" s="47"/>
      <c r="C69" s="48"/>
      <c r="D69" s="48"/>
      <c r="E69" s="48"/>
      <c r="F69" s="44"/>
    </row>
    <row r="70" spans="1:6" x14ac:dyDescent="0.2">
      <c r="A70" s="44"/>
      <c r="B70" s="45" t="s">
        <v>190</v>
      </c>
      <c r="C70" s="49" t="s">
        <v>191</v>
      </c>
      <c r="D70" s="49" t="s">
        <v>192</v>
      </c>
      <c r="E70" s="49" t="s">
        <v>298</v>
      </c>
      <c r="F70" s="44"/>
    </row>
    <row r="71" spans="1:6" x14ac:dyDescent="0.2">
      <c r="A71" s="44"/>
      <c r="B71" s="45" t="s">
        <v>193</v>
      </c>
      <c r="C71" s="49" t="s">
        <v>194</v>
      </c>
      <c r="D71" s="49" t="s">
        <v>195</v>
      </c>
      <c r="E71" s="49" t="s">
        <v>299</v>
      </c>
      <c r="F71" s="44"/>
    </row>
    <row r="72" spans="1:6" x14ac:dyDescent="0.2">
      <c r="A72" s="44"/>
      <c r="B72" s="45" t="s">
        <v>196</v>
      </c>
      <c r="C72" s="51" t="s">
        <v>197</v>
      </c>
      <c r="D72" s="49" t="s">
        <v>197</v>
      </c>
      <c r="E72" s="49" t="s">
        <v>197</v>
      </c>
      <c r="F72" s="44"/>
    </row>
    <row r="73" spans="1:6" x14ac:dyDescent="0.2">
      <c r="A73" s="44"/>
      <c r="B73" s="45" t="s">
        <v>198</v>
      </c>
      <c r="C73" s="49" t="s">
        <v>199</v>
      </c>
      <c r="D73" s="49" t="s">
        <v>199</v>
      </c>
      <c r="E73" s="49" t="s">
        <v>199</v>
      </c>
      <c r="F73" s="44"/>
    </row>
    <row r="74" spans="1:6" x14ac:dyDescent="0.2">
      <c r="A74" s="44"/>
      <c r="B74" s="45" t="s">
        <v>200</v>
      </c>
      <c r="C74" s="49" t="s">
        <v>201</v>
      </c>
      <c r="D74" s="49" t="s">
        <v>201</v>
      </c>
      <c r="E74" s="49" t="s">
        <v>201</v>
      </c>
      <c r="F74" s="44"/>
    </row>
    <row r="75" spans="1:6" x14ac:dyDescent="0.2">
      <c r="A75" s="44"/>
      <c r="B75" s="45" t="s">
        <v>202</v>
      </c>
      <c r="C75" s="49" t="s">
        <v>203</v>
      </c>
      <c r="D75" s="49" t="s">
        <v>204</v>
      </c>
      <c r="E75" s="49" t="s">
        <v>300</v>
      </c>
      <c r="F75" s="44"/>
    </row>
    <row r="76" spans="1:6" x14ac:dyDescent="0.2">
      <c r="A76" s="44"/>
      <c r="B76" s="45" t="s">
        <v>205</v>
      </c>
      <c r="C76" s="51" t="s">
        <v>206</v>
      </c>
      <c r="D76" s="49" t="s">
        <v>207</v>
      </c>
      <c r="E76" s="49" t="s">
        <v>301</v>
      </c>
      <c r="F76" s="44"/>
    </row>
    <row r="77" spans="1:6" x14ac:dyDescent="0.2">
      <c r="A77" s="44"/>
      <c r="B77" s="45" t="s">
        <v>208</v>
      </c>
      <c r="C77" s="51" t="s">
        <v>331</v>
      </c>
      <c r="D77" s="49" t="s">
        <v>332</v>
      </c>
      <c r="E77" s="49" t="s">
        <v>302</v>
      </c>
      <c r="F77" s="44"/>
    </row>
    <row r="78" spans="1:6" x14ac:dyDescent="0.2">
      <c r="A78" s="44"/>
      <c r="B78" s="45" t="s">
        <v>209</v>
      </c>
      <c r="C78" s="51" t="s">
        <v>210</v>
      </c>
      <c r="D78" s="49" t="s">
        <v>211</v>
      </c>
      <c r="E78" s="49" t="s">
        <v>303</v>
      </c>
      <c r="F78" s="44"/>
    </row>
    <row r="79" spans="1:6" x14ac:dyDescent="0.2">
      <c r="A79" s="44"/>
      <c r="B79" s="45" t="s">
        <v>212</v>
      </c>
      <c r="C79" s="51" t="s">
        <v>213</v>
      </c>
      <c r="D79" s="49" t="s">
        <v>214</v>
      </c>
      <c r="E79" s="49" t="s">
        <v>304</v>
      </c>
      <c r="F79" s="44"/>
    </row>
    <row r="80" spans="1:6" x14ac:dyDescent="0.2">
      <c r="A80" s="44"/>
      <c r="B80" s="45" t="s">
        <v>215</v>
      </c>
      <c r="C80" s="51" t="s">
        <v>216</v>
      </c>
      <c r="D80" s="49" t="s">
        <v>217</v>
      </c>
      <c r="E80" s="49" t="s">
        <v>305</v>
      </c>
      <c r="F80" s="44"/>
    </row>
    <row r="81" spans="1:6" x14ac:dyDescent="0.2">
      <c r="A81" s="44"/>
      <c r="B81" s="45" t="s">
        <v>218</v>
      </c>
      <c r="C81" s="51" t="s">
        <v>219</v>
      </c>
      <c r="D81" s="49" t="s">
        <v>220</v>
      </c>
      <c r="E81" s="49" t="s">
        <v>306</v>
      </c>
      <c r="F81" s="44"/>
    </row>
    <row r="82" spans="1:6" x14ac:dyDescent="0.2">
      <c r="A82" s="44"/>
      <c r="B82" s="45" t="s">
        <v>221</v>
      </c>
      <c r="C82" s="51" t="s">
        <v>222</v>
      </c>
      <c r="D82" s="49" t="s">
        <v>223</v>
      </c>
      <c r="E82" s="49" t="s">
        <v>307</v>
      </c>
      <c r="F82" s="44"/>
    </row>
    <row r="83" spans="1:6" x14ac:dyDescent="0.2">
      <c r="A83" s="44"/>
      <c r="B83" s="45" t="s">
        <v>224</v>
      </c>
      <c r="C83" s="51" t="s">
        <v>225</v>
      </c>
      <c r="D83" s="49" t="s">
        <v>226</v>
      </c>
      <c r="E83" s="49" t="s">
        <v>308</v>
      </c>
      <c r="F83" s="44"/>
    </row>
    <row r="84" spans="1:6" x14ac:dyDescent="0.2">
      <c r="A84" s="44"/>
      <c r="B84" s="45" t="s">
        <v>227</v>
      </c>
      <c r="C84" s="51" t="s">
        <v>228</v>
      </c>
      <c r="D84" s="49" t="s">
        <v>229</v>
      </c>
      <c r="E84" s="49" t="s">
        <v>309</v>
      </c>
      <c r="F84" s="44"/>
    </row>
    <row r="85" spans="1:6" x14ac:dyDescent="0.2">
      <c r="A85" s="44"/>
      <c r="B85" s="45" t="s">
        <v>230</v>
      </c>
      <c r="C85" s="51" t="s">
        <v>231</v>
      </c>
      <c r="D85" s="49" t="s">
        <v>232</v>
      </c>
      <c r="E85" s="49" t="s">
        <v>310</v>
      </c>
      <c r="F85" s="44"/>
    </row>
    <row r="86" spans="1:6" x14ac:dyDescent="0.2">
      <c r="A86" s="44"/>
      <c r="B86" s="45" t="s">
        <v>233</v>
      </c>
      <c r="C86" s="51" t="s">
        <v>234</v>
      </c>
      <c r="D86" s="49" t="s">
        <v>235</v>
      </c>
      <c r="E86" s="49" t="s">
        <v>311</v>
      </c>
      <c r="F86" s="44"/>
    </row>
    <row r="87" spans="1:6" x14ac:dyDescent="0.2">
      <c r="A87" s="44"/>
      <c r="B87" s="45" t="s">
        <v>236</v>
      </c>
      <c r="C87" s="51" t="s">
        <v>237</v>
      </c>
      <c r="D87" s="49" t="s">
        <v>238</v>
      </c>
      <c r="E87" s="49" t="s">
        <v>312</v>
      </c>
      <c r="F87" s="44"/>
    </row>
    <row r="88" spans="1:6" x14ac:dyDescent="0.2">
      <c r="A88" s="44"/>
      <c r="B88" s="45" t="s">
        <v>239</v>
      </c>
      <c r="C88" s="51" t="s">
        <v>240</v>
      </c>
      <c r="D88" s="49" t="s">
        <v>241</v>
      </c>
      <c r="E88" s="49" t="s">
        <v>313</v>
      </c>
      <c r="F88" s="44"/>
    </row>
    <row r="89" spans="1:6" x14ac:dyDescent="0.2">
      <c r="A89" s="44"/>
      <c r="B89" s="45" t="s">
        <v>242</v>
      </c>
      <c r="C89" s="51" t="s">
        <v>243</v>
      </c>
      <c r="D89" s="49" t="s">
        <v>244</v>
      </c>
      <c r="E89" s="49" t="s">
        <v>314</v>
      </c>
      <c r="F89" s="44"/>
    </row>
    <row r="90" spans="1:6" x14ac:dyDescent="0.2">
      <c r="A90" s="44"/>
      <c r="B90" s="45" t="s">
        <v>245</v>
      </c>
      <c r="C90" s="51" t="s">
        <v>246</v>
      </c>
      <c r="D90" s="49" t="s">
        <v>247</v>
      </c>
      <c r="E90" s="49" t="s">
        <v>315</v>
      </c>
      <c r="F90" s="44"/>
    </row>
    <row r="91" spans="1:6" x14ac:dyDescent="0.2">
      <c r="A91" s="44"/>
      <c r="B91" s="45" t="s">
        <v>248</v>
      </c>
      <c r="C91" s="51" t="s">
        <v>249</v>
      </c>
      <c r="D91" s="49" t="s">
        <v>250</v>
      </c>
      <c r="E91" s="49" t="s">
        <v>316</v>
      </c>
      <c r="F91" s="44"/>
    </row>
    <row r="92" spans="1:6" x14ac:dyDescent="0.2">
      <c r="A92" s="44"/>
      <c r="B92" s="45" t="s">
        <v>251</v>
      </c>
      <c r="C92" s="51" t="s">
        <v>252</v>
      </c>
      <c r="D92" s="49" t="s">
        <v>253</v>
      </c>
      <c r="E92" s="49" t="s">
        <v>317</v>
      </c>
      <c r="F92" s="44"/>
    </row>
    <row r="93" spans="1:6" x14ac:dyDescent="0.2">
      <c r="A93" s="44"/>
      <c r="B93" s="45" t="s">
        <v>254</v>
      </c>
      <c r="C93" s="51" t="s">
        <v>255</v>
      </c>
      <c r="D93" s="49" t="s">
        <v>256</v>
      </c>
      <c r="E93" s="49" t="s">
        <v>318</v>
      </c>
      <c r="F93" s="44"/>
    </row>
    <row r="94" spans="1:6" ht="25.5" x14ac:dyDescent="0.2">
      <c r="A94" s="44"/>
      <c r="B94" s="45" t="s">
        <v>257</v>
      </c>
      <c r="C94" s="51" t="s">
        <v>258</v>
      </c>
      <c r="D94" s="49" t="s">
        <v>259</v>
      </c>
      <c r="E94" s="49" t="s">
        <v>319</v>
      </c>
      <c r="F94" s="44"/>
    </row>
    <row r="95" spans="1:6" ht="38.25" x14ac:dyDescent="0.2">
      <c r="A95" s="44"/>
      <c r="B95" s="45" t="s">
        <v>260</v>
      </c>
      <c r="C95" s="51" t="s">
        <v>261</v>
      </c>
      <c r="D95" s="49" t="s">
        <v>262</v>
      </c>
      <c r="E95" s="49" t="s">
        <v>320</v>
      </c>
      <c r="F95" s="44"/>
    </row>
    <row r="96" spans="1:6" ht="25.5" x14ac:dyDescent="0.2">
      <c r="A96" s="44"/>
      <c r="B96" s="45" t="s">
        <v>263</v>
      </c>
      <c r="C96" s="51" t="s">
        <v>264</v>
      </c>
      <c r="D96" s="49" t="s">
        <v>265</v>
      </c>
      <c r="E96" s="49" t="s">
        <v>321</v>
      </c>
      <c r="F96" s="44"/>
    </row>
    <row r="97" spans="1:6" x14ac:dyDescent="0.2">
      <c r="A97" s="44"/>
      <c r="B97" s="45" t="s">
        <v>266</v>
      </c>
      <c r="C97" s="51" t="s">
        <v>267</v>
      </c>
      <c r="D97" s="49" t="s">
        <v>268</v>
      </c>
      <c r="E97" s="49" t="s">
        <v>322</v>
      </c>
      <c r="F97" s="44"/>
    </row>
    <row r="98" spans="1:6" x14ac:dyDescent="0.2">
      <c r="A98" s="44"/>
      <c r="B98" s="45" t="s">
        <v>269</v>
      </c>
      <c r="C98" s="51" t="s">
        <v>270</v>
      </c>
      <c r="D98" s="49" t="s">
        <v>271</v>
      </c>
      <c r="E98" s="49" t="s">
        <v>323</v>
      </c>
      <c r="F98" s="44"/>
    </row>
    <row r="99" spans="1:6" x14ac:dyDescent="0.2">
      <c r="A99" s="44"/>
      <c r="B99" s="45" t="s">
        <v>272</v>
      </c>
      <c r="C99" s="51" t="s">
        <v>273</v>
      </c>
      <c r="D99" s="49" t="s">
        <v>274</v>
      </c>
      <c r="E99" s="49" t="s">
        <v>324</v>
      </c>
      <c r="F99" s="44"/>
    </row>
    <row r="100" spans="1:6" x14ac:dyDescent="0.2">
      <c r="A100" s="44"/>
      <c r="B100" s="44"/>
      <c r="C100" s="50"/>
      <c r="D100" s="50"/>
      <c r="E100" s="44"/>
      <c r="F100" s="44"/>
    </row>
    <row r="101" spans="1:6" x14ac:dyDescent="0.2">
      <c r="A101" s="44" t="s">
        <v>168</v>
      </c>
      <c r="B101" s="53" t="s">
        <v>275</v>
      </c>
      <c r="C101" s="54" t="s">
        <v>328</v>
      </c>
      <c r="D101" s="54" t="s">
        <v>329</v>
      </c>
      <c r="E101" s="54" t="s">
        <v>330</v>
      </c>
      <c r="F101" s="44"/>
    </row>
    <row r="102" spans="1:6" x14ac:dyDescent="0.2">
      <c r="A102" s="44"/>
      <c r="B102" s="44"/>
      <c r="C102" s="50"/>
      <c r="D102" s="50"/>
      <c r="E102" s="44"/>
      <c r="F102" s="44"/>
    </row>
    <row r="103" spans="1:6" x14ac:dyDescent="0.2">
      <c r="C103" s="45"/>
      <c r="D103" s="45"/>
      <c r="E103" s="45"/>
    </row>
    <row r="104" spans="1:6" x14ac:dyDescent="0.2">
      <c r="B104" s="49"/>
      <c r="E104" s="4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1004</Benutzerdefinierte_x0020_ID>
    <Titel_IT xmlns="e8a48d95-b6dc-46ea-8dee-11ddfc24d8d8">Condizione professionale nei Grigioni e in Svizzera, 2023</Titel_IT>
    <Titel_RM xmlns="e8a48d95-b6dc-46ea-8dee-11ddfc24d8d8">Status dal gudogn en il Grischun ed en Svizra, 2023</Titel_RM>
    <Titel_DE xmlns="e8a48d95-b6dc-46ea-8dee-11ddfc24d8d8">Erwerbsstatus Graubünden und Schweiz, 2023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E1782B-0A2E-4428-94E3-92936D79832A}"/>
</file>

<file path=customXml/itemProps2.xml><?xml version="1.0" encoding="utf-8"?>
<ds:datastoreItem xmlns:ds="http://schemas.openxmlformats.org/officeDocument/2006/customXml" ds:itemID="{9F09813C-CC26-48E3-8D4A-B38FB6F68D71}"/>
</file>

<file path=customXml/itemProps3.xml><?xml version="1.0" encoding="utf-8"?>
<ds:datastoreItem xmlns:ds="http://schemas.openxmlformats.org/officeDocument/2006/customXml" ds:itemID="{67759F77-9D23-402E-92B4-488FC4B76D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Schweiz</vt:lpstr>
      <vt:lpstr>Graubünden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Erwerbsstatus Graubünden und Schweiz</dc:title>
  <dc:subject/>
  <dc:creator>Luzius.Stricker@awt.gr.ch</dc:creator>
  <cp:keywords/>
  <dc:description/>
  <cp:lastModifiedBy>Stricker Luzius</cp:lastModifiedBy>
  <cp:revision/>
  <dcterms:created xsi:type="dcterms:W3CDTF">2017-05-04T09:10:20Z</dcterms:created>
  <dcterms:modified xsi:type="dcterms:W3CDTF">2025-01-27T08:45:59Z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0x01010028D26AD4D433F842B31B8F2E11C3D7DD</vt:lpwstr>
  </property>
</Properties>
</file>